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3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drawings/drawing4.xml" ContentType="application/vnd.openxmlformats-officedocument.drawing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drawings/drawing5.xml" ContentType="application/vnd.openxmlformats-officedocument.drawing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drawings/drawing6.xml" ContentType="application/vnd.openxmlformats-officedocument.drawing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drawings/drawing7.xml" ContentType="application/vnd.openxmlformats-officedocument.drawing+xml"/>
  <Override PartName="/xl/charts/chart85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harts/chart86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harts/chart87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charts/chart88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charts/chart89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charts/chart90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charts/chart91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charts/chart92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charts/chart93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drawings/drawing8.xml" ContentType="application/vnd.openxmlformats-officedocument.drawing+xml"/>
  <Override PartName="/xl/charts/chart94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charts/chart95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charts/chart96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drawings/drawing9.xml" ContentType="application/vnd.openxmlformats-officedocument.drawing+xml"/>
  <Override PartName="/xl/charts/chart97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charts/chart98.xml" ContentType="application/vnd.openxmlformats-officedocument.drawingml.chart+xml"/>
  <Override PartName="/xl/charts/style74.xml" ContentType="application/vnd.ms-office.chartstyle+xml"/>
  <Override PartName="/xl/charts/colors74.xml" ContentType="application/vnd.ms-office.chartcolorstyle+xml"/>
  <Override PartName="/xl/charts/chart99.xml" ContentType="application/vnd.openxmlformats-officedocument.drawingml.chart+xml"/>
  <Override PartName="/xl/charts/style75.xml" ContentType="application/vnd.ms-office.chartstyle+xml"/>
  <Override PartName="/xl/charts/colors75.xml" ContentType="application/vnd.ms-office.chartcolorstyle+xml"/>
  <Override PartName="/xl/drawings/drawing10.xml" ContentType="application/vnd.openxmlformats-officedocument.drawing+xml"/>
  <Override PartName="/xl/charts/chart100.xml" ContentType="application/vnd.openxmlformats-officedocument.drawingml.chart+xml"/>
  <Override PartName="/xl/charts/style76.xml" ContentType="application/vnd.ms-office.chartstyle+xml"/>
  <Override PartName="/xl/charts/colors76.xml" ContentType="application/vnd.ms-office.chartcolorstyle+xml"/>
  <Override PartName="/xl/charts/chart101.xml" ContentType="application/vnd.openxmlformats-officedocument.drawingml.chart+xml"/>
  <Override PartName="/xl/charts/style77.xml" ContentType="application/vnd.ms-office.chartstyle+xml"/>
  <Override PartName="/xl/charts/colors77.xml" ContentType="application/vnd.ms-office.chartcolorstyle+xml"/>
  <Override PartName="/xl/charts/chart102.xml" ContentType="application/vnd.openxmlformats-officedocument.drawingml.chart+xml"/>
  <Override PartName="/xl/charts/style78.xml" ContentType="application/vnd.ms-office.chartstyle+xml"/>
  <Override PartName="/xl/charts/colors78.xml" ContentType="application/vnd.ms-office.chartcolorstyle+xml"/>
  <Override PartName="/xl/charts/chart103.xml" ContentType="application/vnd.openxmlformats-officedocument.drawingml.chart+xml"/>
  <Override PartName="/xl/charts/style79.xml" ContentType="application/vnd.ms-office.chartstyle+xml"/>
  <Override PartName="/xl/charts/colors79.xml" ContentType="application/vnd.ms-office.chartcolorstyle+xml"/>
  <Override PartName="/xl/charts/chart104.xml" ContentType="application/vnd.openxmlformats-officedocument.drawingml.chart+xml"/>
  <Override PartName="/xl/charts/style80.xml" ContentType="application/vnd.ms-office.chartstyle+xml"/>
  <Override PartName="/xl/charts/colors80.xml" ContentType="application/vnd.ms-office.chartcolorstyle+xml"/>
  <Override PartName="/xl/drawings/drawing11.xml" ContentType="application/vnd.openxmlformats-officedocument.drawing+xml"/>
  <Override PartName="/xl/charts/chart105.xml" ContentType="application/vnd.openxmlformats-officedocument.drawingml.chart+xml"/>
  <Override PartName="/xl/charts/style81.xml" ContentType="application/vnd.ms-office.chartstyle+xml"/>
  <Override PartName="/xl/charts/colors81.xml" ContentType="application/vnd.ms-office.chartcolorstyle+xml"/>
  <Override PartName="/xl/charts/chart106.xml" ContentType="application/vnd.openxmlformats-officedocument.drawingml.chart+xml"/>
  <Override PartName="/xl/charts/style82.xml" ContentType="application/vnd.ms-office.chartstyle+xml"/>
  <Override PartName="/xl/charts/colors82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owtham.muthukumaran\Downloads\"/>
    </mc:Choice>
  </mc:AlternateContent>
  <xr:revisionPtr revIDLastSave="0" documentId="13_ncr:1_{33E8293A-08F3-4A37-A7A9-86EDB12AC8FF}" xr6:coauthVersionLast="47" xr6:coauthVersionMax="47" xr10:uidLastSave="{00000000-0000-0000-0000-000000000000}"/>
  <bookViews>
    <workbookView xWindow="-110" yWindow="-110" windowWidth="19420" windowHeight="10300" tabRatio="500" activeTab="1" xr2:uid="{00000000-000D-0000-FFFF-FFFF00000000}"/>
  </bookViews>
  <sheets>
    <sheet name="Cover" sheetId="15" r:id="rId1"/>
    <sheet name="Historical trend ass. Est_visua" sheetId="16" r:id="rId2"/>
    <sheet name="Historical trend ass. Lat_visu" sheetId="17" r:id="rId3"/>
    <sheet name="Historical trend ass. Lit_visua" sheetId="18" r:id="rId4"/>
    <sheet name="Efficiency Assumptions" sheetId="1" state="hidden" r:id="rId5"/>
    <sheet name="Pop Projection" sheetId="2" state="hidden" r:id="rId6"/>
    <sheet name="EST_FEC" sheetId="3" state="hidden" r:id="rId7"/>
    <sheet name="LAT_FEC" sheetId="4" state="hidden" r:id="rId8"/>
    <sheet name="LIT_FEC" sheetId="5" state="hidden" r:id="rId9"/>
    <sheet name="Sub sectoral data" sheetId="13" state="hidden" r:id="rId10"/>
    <sheet name="EST Scenario projections" sheetId="9" r:id="rId11"/>
    <sheet name="LAT Scenario projections " sheetId="10" r:id="rId12"/>
    <sheet name="LIT Scenario projections " sheetId="11" r:id="rId13"/>
    <sheet name="SEI Scenario EST" sheetId="6" r:id="rId14"/>
    <sheet name="SEI Scenario LAT" sheetId="7" r:id="rId15"/>
    <sheet name="SEI Scenario LIT" sheetId="8" r:id="rId16"/>
  </sheets>
  <externalReferences>
    <externalReference r:id="rId17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64" i="8" l="1"/>
  <c r="E163" i="8"/>
  <c r="E162" i="8"/>
  <c r="E161" i="8"/>
  <c r="E160" i="8"/>
  <c r="E159" i="8"/>
  <c r="E158" i="8"/>
  <c r="E157" i="8"/>
  <c r="E156" i="8"/>
  <c r="E155" i="8"/>
  <c r="E154" i="8"/>
  <c r="E153" i="8"/>
  <c r="E152" i="8"/>
  <c r="E151" i="8"/>
  <c r="E150" i="8"/>
  <c r="E149" i="8"/>
  <c r="E148" i="8"/>
  <c r="E147" i="8"/>
  <c r="E146" i="8"/>
  <c r="E145" i="8"/>
  <c r="E144" i="8"/>
  <c r="E143" i="8"/>
  <c r="E142" i="8"/>
  <c r="E141" i="8"/>
  <c r="E136" i="8"/>
  <c r="E135" i="8"/>
  <c r="E134" i="8"/>
  <c r="E133" i="8"/>
  <c r="E132" i="8"/>
  <c r="E131" i="8"/>
  <c r="E130" i="8"/>
  <c r="E129" i="8"/>
  <c r="E128" i="8"/>
  <c r="E127" i="8"/>
  <c r="E126" i="8"/>
  <c r="E125" i="8"/>
  <c r="E124" i="8"/>
  <c r="E123" i="8"/>
  <c r="E122" i="8"/>
  <c r="E121" i="8"/>
  <c r="E120" i="8"/>
  <c r="E119" i="8"/>
  <c r="E118" i="8"/>
  <c r="E117" i="8"/>
  <c r="E116" i="8"/>
  <c r="E115" i="8"/>
  <c r="E114" i="8"/>
  <c r="E113" i="8"/>
  <c r="E108" i="8"/>
  <c r="E107" i="8"/>
  <c r="E106" i="8"/>
  <c r="E105" i="8"/>
  <c r="E104" i="8"/>
  <c r="E103" i="8"/>
  <c r="E102" i="8"/>
  <c r="E101" i="8"/>
  <c r="E100" i="8"/>
  <c r="E99" i="8"/>
  <c r="E98" i="8"/>
  <c r="E97" i="8"/>
  <c r="E96" i="8"/>
  <c r="E95" i="8"/>
  <c r="E94" i="8"/>
  <c r="E93" i="8"/>
  <c r="E92" i="8"/>
  <c r="E91" i="8"/>
  <c r="E90" i="8"/>
  <c r="E89" i="8"/>
  <c r="E88" i="8"/>
  <c r="E87" i="8"/>
  <c r="E86" i="8"/>
  <c r="E85" i="8"/>
  <c r="D80" i="8"/>
  <c r="D79" i="8"/>
  <c r="C79" i="8"/>
  <c r="E78" i="8"/>
  <c r="D78" i="8"/>
  <c r="C78" i="8"/>
  <c r="E77" i="8"/>
  <c r="D77" i="8"/>
  <c r="C77" i="8"/>
  <c r="E76" i="8"/>
  <c r="D76" i="8"/>
  <c r="C76" i="8"/>
  <c r="E75" i="8"/>
  <c r="D75" i="8"/>
  <c r="C75" i="8"/>
  <c r="E74" i="8"/>
  <c r="D74" i="8"/>
  <c r="C74" i="8"/>
  <c r="D71" i="8"/>
  <c r="C71" i="8"/>
  <c r="D70" i="8"/>
  <c r="C70" i="8"/>
  <c r="D69" i="8"/>
  <c r="C69" i="8"/>
  <c r="D68" i="8"/>
  <c r="C68" i="8"/>
  <c r="D67" i="8"/>
  <c r="C67" i="8"/>
  <c r="G66" i="8"/>
  <c r="F66" i="8"/>
  <c r="D66" i="8"/>
  <c r="C66" i="8"/>
  <c r="F65" i="8"/>
  <c r="E65" i="8"/>
  <c r="F64" i="8"/>
  <c r="E64" i="8"/>
  <c r="F63" i="8"/>
  <c r="E63" i="8"/>
  <c r="F62" i="8"/>
  <c r="E62" i="8"/>
  <c r="F61" i="8"/>
  <c r="E61" i="8"/>
  <c r="D57" i="8"/>
  <c r="E56" i="8"/>
  <c r="D56" i="8"/>
  <c r="C56" i="8"/>
  <c r="E55" i="8"/>
  <c r="E54" i="8"/>
  <c r="E51" i="8"/>
  <c r="E50" i="8"/>
  <c r="E49" i="8"/>
  <c r="E48" i="8"/>
  <c r="E47" i="8"/>
  <c r="E46" i="8"/>
  <c r="E45" i="8"/>
  <c r="E44" i="8"/>
  <c r="E43" i="8"/>
  <c r="E42" i="8"/>
  <c r="E41" i="8"/>
  <c r="E40" i="8"/>
  <c r="E39" i="8"/>
  <c r="E38" i="8"/>
  <c r="D38" i="8"/>
  <c r="C38" i="8"/>
  <c r="W37" i="8"/>
  <c r="E37" i="8"/>
  <c r="D37" i="8"/>
  <c r="C37" i="8"/>
  <c r="W36" i="8"/>
  <c r="E36" i="8"/>
  <c r="D36" i="8"/>
  <c r="C36" i="8"/>
  <c r="E35" i="8"/>
  <c r="ED34" i="8"/>
  <c r="EC34" i="8"/>
  <c r="EB34" i="8"/>
  <c r="EA34" i="8"/>
  <c r="DZ34" i="8"/>
  <c r="DY34" i="8"/>
  <c r="DX34" i="8"/>
  <c r="DW34" i="8"/>
  <c r="DV34" i="8"/>
  <c r="DU34" i="8"/>
  <c r="DT34" i="8"/>
  <c r="DS34" i="8"/>
  <c r="DR34" i="8"/>
  <c r="DQ34" i="8"/>
  <c r="DP34" i="8"/>
  <c r="DO34" i="8"/>
  <c r="DN34" i="8"/>
  <c r="DM34" i="8"/>
  <c r="DL34" i="8"/>
  <c r="DK34" i="8"/>
  <c r="DJ34" i="8"/>
  <c r="DI34" i="8"/>
  <c r="DH34" i="8"/>
  <c r="DG34" i="8"/>
  <c r="DF34" i="8"/>
  <c r="DE34" i="8"/>
  <c r="DD34" i="8"/>
  <c r="DC34" i="8"/>
  <c r="DB34" i="8"/>
  <c r="DA34" i="8"/>
  <c r="CZ34" i="8"/>
  <c r="CY34" i="8"/>
  <c r="CX34" i="8"/>
  <c r="CW34" i="8"/>
  <c r="CV34" i="8"/>
  <c r="CU34" i="8"/>
  <c r="CT34" i="8"/>
  <c r="CS34" i="8"/>
  <c r="CR34" i="8"/>
  <c r="CQ34" i="8"/>
  <c r="CP34" i="8"/>
  <c r="CO34" i="8"/>
  <c r="CN34" i="8"/>
  <c r="CM34" i="8"/>
  <c r="CL34" i="8"/>
  <c r="CK34" i="8"/>
  <c r="CJ34" i="8"/>
  <c r="CI34" i="8"/>
  <c r="CH34" i="8"/>
  <c r="CG34" i="8"/>
  <c r="CF34" i="8"/>
  <c r="CE34" i="8"/>
  <c r="CD34" i="8"/>
  <c r="CC34" i="8"/>
  <c r="CB34" i="8"/>
  <c r="CA34" i="8"/>
  <c r="BZ34" i="8"/>
  <c r="BY34" i="8"/>
  <c r="BX34" i="8"/>
  <c r="BW34" i="8"/>
  <c r="BV34" i="8"/>
  <c r="BU34" i="8"/>
  <c r="BT34" i="8"/>
  <c r="BS34" i="8"/>
  <c r="BR34" i="8"/>
  <c r="BQ34" i="8"/>
  <c r="BP34" i="8"/>
  <c r="BO34" i="8"/>
  <c r="BM34" i="8"/>
  <c r="BL34" i="8"/>
  <c r="BK34" i="8"/>
  <c r="BJ34" i="8"/>
  <c r="BI34" i="8"/>
  <c r="BH34" i="8"/>
  <c r="BG34" i="8"/>
  <c r="BF34" i="8"/>
  <c r="BE34" i="8"/>
  <c r="BD34" i="8"/>
  <c r="BC34" i="8"/>
  <c r="BB34" i="8"/>
  <c r="BA34" i="8"/>
  <c r="AZ34" i="8"/>
  <c r="AY34" i="8"/>
  <c r="AX34" i="8"/>
  <c r="AW34" i="8"/>
  <c r="AV34" i="8"/>
  <c r="AU34" i="8"/>
  <c r="AT34" i="8"/>
  <c r="AS34" i="8"/>
  <c r="AR34" i="8"/>
  <c r="AQ34" i="8"/>
  <c r="AP34" i="8"/>
  <c r="AO34" i="8"/>
  <c r="AN34" i="8"/>
  <c r="AM34" i="8"/>
  <c r="AL34" i="8"/>
  <c r="AK34" i="8"/>
  <c r="AJ34" i="8"/>
  <c r="AI34" i="8"/>
  <c r="AH34" i="8"/>
  <c r="AG34" i="8"/>
  <c r="AF34" i="8"/>
  <c r="AE34" i="8"/>
  <c r="AD34" i="8"/>
  <c r="AC34" i="8"/>
  <c r="AB34" i="8"/>
  <c r="AA34" i="8"/>
  <c r="Z34" i="8"/>
  <c r="Y34" i="8"/>
  <c r="X34" i="8"/>
  <c r="W34" i="8"/>
  <c r="V34" i="8"/>
  <c r="U34" i="8"/>
  <c r="T34" i="8"/>
  <c r="S34" i="8"/>
  <c r="R34" i="8"/>
  <c r="Q34" i="8"/>
  <c r="P34" i="8"/>
  <c r="O34" i="8"/>
  <c r="N34" i="8"/>
  <c r="M34" i="8"/>
  <c r="E34" i="8"/>
  <c r="D34" i="8"/>
  <c r="C34" i="8"/>
  <c r="ED33" i="8"/>
  <c r="EC33" i="8"/>
  <c r="EB33" i="8"/>
  <c r="EA33" i="8"/>
  <c r="DZ33" i="8"/>
  <c r="DY33" i="8"/>
  <c r="DX33" i="8"/>
  <c r="DW33" i="8"/>
  <c r="DV33" i="8"/>
  <c r="DU33" i="8"/>
  <c r="DT33" i="8"/>
  <c r="DS33" i="8"/>
  <c r="DR33" i="8"/>
  <c r="DQ33" i="8"/>
  <c r="DP33" i="8"/>
  <c r="DO33" i="8"/>
  <c r="DN33" i="8"/>
  <c r="DM33" i="8"/>
  <c r="DL33" i="8"/>
  <c r="DK33" i="8"/>
  <c r="DJ33" i="8"/>
  <c r="DI33" i="8"/>
  <c r="DH33" i="8"/>
  <c r="DG33" i="8"/>
  <c r="DF33" i="8"/>
  <c r="DE33" i="8"/>
  <c r="DD33" i="8"/>
  <c r="DC33" i="8"/>
  <c r="DB33" i="8"/>
  <c r="DA33" i="8"/>
  <c r="CZ33" i="8"/>
  <c r="CY33" i="8"/>
  <c r="CX33" i="8"/>
  <c r="CW33" i="8"/>
  <c r="CV33" i="8"/>
  <c r="CU33" i="8"/>
  <c r="CT33" i="8"/>
  <c r="CS33" i="8"/>
  <c r="CR33" i="8"/>
  <c r="CQ33" i="8"/>
  <c r="CP33" i="8"/>
  <c r="CO33" i="8"/>
  <c r="CN33" i="8"/>
  <c r="CM33" i="8"/>
  <c r="CL33" i="8"/>
  <c r="CK33" i="8"/>
  <c r="CJ33" i="8"/>
  <c r="CI33" i="8"/>
  <c r="CH33" i="8"/>
  <c r="CG33" i="8"/>
  <c r="CF33" i="8"/>
  <c r="CE33" i="8"/>
  <c r="CD33" i="8"/>
  <c r="CC33" i="8"/>
  <c r="CB33" i="8"/>
  <c r="CA33" i="8"/>
  <c r="BZ33" i="8"/>
  <c r="BY33" i="8"/>
  <c r="BX33" i="8"/>
  <c r="BW33" i="8"/>
  <c r="BV33" i="8"/>
  <c r="BU33" i="8"/>
  <c r="BT33" i="8"/>
  <c r="BS33" i="8"/>
  <c r="BR33" i="8"/>
  <c r="BQ33" i="8"/>
  <c r="BP33" i="8"/>
  <c r="BO33" i="8"/>
  <c r="BM33" i="8"/>
  <c r="BL33" i="8"/>
  <c r="BK33" i="8"/>
  <c r="BJ33" i="8"/>
  <c r="BI33" i="8"/>
  <c r="BH33" i="8"/>
  <c r="BG33" i="8"/>
  <c r="BF33" i="8"/>
  <c r="BE33" i="8"/>
  <c r="BD33" i="8"/>
  <c r="BC33" i="8"/>
  <c r="BB33" i="8"/>
  <c r="BA33" i="8"/>
  <c r="AZ33" i="8"/>
  <c r="AY33" i="8"/>
  <c r="AX33" i="8"/>
  <c r="AW33" i="8"/>
  <c r="AV33" i="8"/>
  <c r="AU33" i="8"/>
  <c r="AT33" i="8"/>
  <c r="AS33" i="8"/>
  <c r="AR33" i="8"/>
  <c r="AQ33" i="8"/>
  <c r="AP33" i="8"/>
  <c r="AO33" i="8"/>
  <c r="AN33" i="8"/>
  <c r="AM33" i="8"/>
  <c r="AL33" i="8"/>
  <c r="AJ33" i="8"/>
  <c r="AI33" i="8"/>
  <c r="AH33" i="8"/>
  <c r="AG33" i="8"/>
  <c r="AF33" i="8"/>
  <c r="AE33" i="8"/>
  <c r="AD33" i="8"/>
  <c r="AC33" i="8"/>
  <c r="AB33" i="8"/>
  <c r="AA33" i="8"/>
  <c r="Z33" i="8"/>
  <c r="Y33" i="8"/>
  <c r="X33" i="8"/>
  <c r="W33" i="8"/>
  <c r="V33" i="8"/>
  <c r="U33" i="8"/>
  <c r="T33" i="8"/>
  <c r="S33" i="8"/>
  <c r="R33" i="8"/>
  <c r="Q33" i="8"/>
  <c r="P33" i="8"/>
  <c r="O33" i="8"/>
  <c r="N33" i="8"/>
  <c r="M33" i="8"/>
  <c r="E33" i="8"/>
  <c r="ED32" i="8"/>
  <c r="EC32" i="8"/>
  <c r="EB32" i="8"/>
  <c r="EA32" i="8"/>
  <c r="DZ32" i="8"/>
  <c r="DY32" i="8"/>
  <c r="DX32" i="8"/>
  <c r="DW32" i="8"/>
  <c r="DV32" i="8"/>
  <c r="DU32" i="8"/>
  <c r="DT32" i="8"/>
  <c r="DS32" i="8"/>
  <c r="DR32" i="8"/>
  <c r="DQ32" i="8"/>
  <c r="DP32" i="8"/>
  <c r="DO32" i="8"/>
  <c r="DN32" i="8"/>
  <c r="DM32" i="8"/>
  <c r="DL32" i="8"/>
  <c r="DK32" i="8"/>
  <c r="DJ32" i="8"/>
  <c r="DI32" i="8"/>
  <c r="DH32" i="8"/>
  <c r="DG32" i="8"/>
  <c r="DF32" i="8"/>
  <c r="DE32" i="8"/>
  <c r="DD32" i="8"/>
  <c r="DC32" i="8"/>
  <c r="DB32" i="8"/>
  <c r="DA32" i="8"/>
  <c r="CZ32" i="8"/>
  <c r="CY32" i="8"/>
  <c r="CX32" i="8"/>
  <c r="CW32" i="8"/>
  <c r="CV32" i="8"/>
  <c r="CU32" i="8"/>
  <c r="CT32" i="8"/>
  <c r="CS32" i="8"/>
  <c r="CR32" i="8"/>
  <c r="CQ32" i="8"/>
  <c r="CP32" i="8"/>
  <c r="CO32" i="8"/>
  <c r="CN32" i="8"/>
  <c r="CM32" i="8"/>
  <c r="CL32" i="8"/>
  <c r="CK32" i="8"/>
  <c r="CJ32" i="8"/>
  <c r="CI32" i="8"/>
  <c r="CH32" i="8"/>
  <c r="CG32" i="8"/>
  <c r="CF32" i="8"/>
  <c r="CE32" i="8"/>
  <c r="CD32" i="8"/>
  <c r="CC32" i="8"/>
  <c r="CB32" i="8"/>
  <c r="CA32" i="8"/>
  <c r="BZ32" i="8"/>
  <c r="BY32" i="8"/>
  <c r="BX32" i="8"/>
  <c r="BW32" i="8"/>
  <c r="BV32" i="8"/>
  <c r="BU32" i="8"/>
  <c r="BT32" i="8"/>
  <c r="BS32" i="8"/>
  <c r="BR32" i="8"/>
  <c r="BQ32" i="8"/>
  <c r="BP32" i="8"/>
  <c r="BO32" i="8"/>
  <c r="BM32" i="8"/>
  <c r="BL32" i="8"/>
  <c r="BK32" i="8"/>
  <c r="BJ32" i="8"/>
  <c r="BI32" i="8"/>
  <c r="BH32" i="8"/>
  <c r="BG32" i="8"/>
  <c r="BF32" i="8"/>
  <c r="BE32" i="8"/>
  <c r="BD32" i="8"/>
  <c r="BC32" i="8"/>
  <c r="BB32" i="8"/>
  <c r="BA32" i="8"/>
  <c r="AZ32" i="8"/>
  <c r="AY32" i="8"/>
  <c r="AX32" i="8"/>
  <c r="AW32" i="8"/>
  <c r="AV32" i="8"/>
  <c r="AU32" i="8"/>
  <c r="AT32" i="8"/>
  <c r="AS32" i="8"/>
  <c r="AR32" i="8"/>
  <c r="AQ32" i="8"/>
  <c r="AP32" i="8"/>
  <c r="AO32" i="8"/>
  <c r="AN32" i="8"/>
  <c r="AM32" i="8"/>
  <c r="AL32" i="8"/>
  <c r="AJ32" i="8"/>
  <c r="AI32" i="8"/>
  <c r="AH32" i="8"/>
  <c r="AG32" i="8"/>
  <c r="AF32" i="8"/>
  <c r="AE32" i="8"/>
  <c r="AD32" i="8"/>
  <c r="AC32" i="8"/>
  <c r="AB32" i="8"/>
  <c r="AA32" i="8"/>
  <c r="Z32" i="8"/>
  <c r="Y32" i="8"/>
  <c r="X32" i="8"/>
  <c r="W32" i="8"/>
  <c r="V32" i="8"/>
  <c r="U32" i="8"/>
  <c r="T32" i="8"/>
  <c r="S32" i="8"/>
  <c r="R32" i="8"/>
  <c r="Q32" i="8"/>
  <c r="P32" i="8"/>
  <c r="O32" i="8"/>
  <c r="N32" i="8"/>
  <c r="M32" i="8"/>
  <c r="E32" i="8"/>
  <c r="ED31" i="8"/>
  <c r="EC31" i="8"/>
  <c r="EB31" i="8"/>
  <c r="EA31" i="8"/>
  <c r="DZ31" i="8"/>
  <c r="DY31" i="8"/>
  <c r="DX31" i="8"/>
  <c r="DW31" i="8"/>
  <c r="DV31" i="8"/>
  <c r="DU31" i="8"/>
  <c r="DT31" i="8"/>
  <c r="DS31" i="8"/>
  <c r="DR31" i="8"/>
  <c r="DQ31" i="8"/>
  <c r="DP31" i="8"/>
  <c r="DO31" i="8"/>
  <c r="DN31" i="8"/>
  <c r="DM31" i="8"/>
  <c r="DL31" i="8"/>
  <c r="DK31" i="8"/>
  <c r="DJ31" i="8"/>
  <c r="DI31" i="8"/>
  <c r="DH31" i="8"/>
  <c r="DG31" i="8"/>
  <c r="DF31" i="8"/>
  <c r="DE31" i="8"/>
  <c r="DD31" i="8"/>
  <c r="DC31" i="8"/>
  <c r="DB31" i="8"/>
  <c r="DA31" i="8"/>
  <c r="CZ31" i="8"/>
  <c r="CY31" i="8"/>
  <c r="CX31" i="8"/>
  <c r="CW31" i="8"/>
  <c r="CV31" i="8"/>
  <c r="CU31" i="8"/>
  <c r="CT31" i="8"/>
  <c r="CS31" i="8"/>
  <c r="CR31" i="8"/>
  <c r="CQ31" i="8"/>
  <c r="CP31" i="8"/>
  <c r="CO31" i="8"/>
  <c r="CN31" i="8"/>
  <c r="CM31" i="8"/>
  <c r="CL31" i="8"/>
  <c r="CK31" i="8"/>
  <c r="CJ31" i="8"/>
  <c r="CI31" i="8"/>
  <c r="CH31" i="8"/>
  <c r="CG31" i="8"/>
  <c r="CF31" i="8"/>
  <c r="CE31" i="8"/>
  <c r="CD31" i="8"/>
  <c r="CC31" i="8"/>
  <c r="CB31" i="8"/>
  <c r="CA31" i="8"/>
  <c r="BZ31" i="8"/>
  <c r="BY31" i="8"/>
  <c r="BX31" i="8"/>
  <c r="BW31" i="8"/>
  <c r="BV31" i="8"/>
  <c r="BU31" i="8"/>
  <c r="BT31" i="8"/>
  <c r="BS31" i="8"/>
  <c r="BR31" i="8"/>
  <c r="BQ31" i="8"/>
  <c r="BP31" i="8"/>
  <c r="BO31" i="8"/>
  <c r="BM31" i="8"/>
  <c r="BL31" i="8"/>
  <c r="BK31" i="8"/>
  <c r="BJ31" i="8"/>
  <c r="BI31" i="8"/>
  <c r="BH31" i="8"/>
  <c r="BG31" i="8"/>
  <c r="BF31" i="8"/>
  <c r="BE31" i="8"/>
  <c r="BD31" i="8"/>
  <c r="BC31" i="8"/>
  <c r="BB31" i="8"/>
  <c r="BA31" i="8"/>
  <c r="AZ31" i="8"/>
  <c r="AY31" i="8"/>
  <c r="AX31" i="8"/>
  <c r="AW31" i="8"/>
  <c r="AV31" i="8"/>
  <c r="AU31" i="8"/>
  <c r="AT31" i="8"/>
  <c r="AS31" i="8"/>
  <c r="AR31" i="8"/>
  <c r="AQ31" i="8"/>
  <c r="AP31" i="8"/>
  <c r="AO31" i="8"/>
  <c r="AN31" i="8"/>
  <c r="AM31" i="8"/>
  <c r="AL31" i="8"/>
  <c r="AJ31" i="8"/>
  <c r="AI31" i="8"/>
  <c r="AH31" i="8"/>
  <c r="AG31" i="8"/>
  <c r="AF31" i="8"/>
  <c r="AE31" i="8"/>
  <c r="AD31" i="8"/>
  <c r="AC31" i="8"/>
  <c r="AB31" i="8"/>
  <c r="AA31" i="8"/>
  <c r="Z31" i="8"/>
  <c r="Y31" i="8"/>
  <c r="X31" i="8"/>
  <c r="W31" i="8"/>
  <c r="V31" i="8"/>
  <c r="U31" i="8"/>
  <c r="T31" i="8"/>
  <c r="S31" i="8"/>
  <c r="R31" i="8"/>
  <c r="Q31" i="8"/>
  <c r="P31" i="8"/>
  <c r="O31" i="8"/>
  <c r="N31" i="8"/>
  <c r="M31" i="8"/>
  <c r="E31" i="8"/>
  <c r="ED30" i="8"/>
  <c r="EC30" i="8"/>
  <c r="EB30" i="8"/>
  <c r="EA30" i="8"/>
  <c r="DZ30" i="8"/>
  <c r="DY30" i="8"/>
  <c r="DX30" i="8"/>
  <c r="DW30" i="8"/>
  <c r="DV30" i="8"/>
  <c r="DU30" i="8"/>
  <c r="DT30" i="8"/>
  <c r="DS30" i="8"/>
  <c r="DR30" i="8"/>
  <c r="DQ30" i="8"/>
  <c r="DP30" i="8"/>
  <c r="DO30" i="8"/>
  <c r="DN30" i="8"/>
  <c r="DM30" i="8"/>
  <c r="DL30" i="8"/>
  <c r="DK30" i="8"/>
  <c r="DJ30" i="8"/>
  <c r="DI30" i="8"/>
  <c r="DH30" i="8"/>
  <c r="DG30" i="8"/>
  <c r="DF30" i="8"/>
  <c r="DE30" i="8"/>
  <c r="DD30" i="8"/>
  <c r="DC30" i="8"/>
  <c r="DB30" i="8"/>
  <c r="DA30" i="8"/>
  <c r="CZ30" i="8"/>
  <c r="CY30" i="8"/>
  <c r="CX30" i="8"/>
  <c r="CW30" i="8"/>
  <c r="CV30" i="8"/>
  <c r="CU30" i="8"/>
  <c r="CT30" i="8"/>
  <c r="CS30" i="8"/>
  <c r="CR30" i="8"/>
  <c r="CQ30" i="8"/>
  <c r="CP30" i="8"/>
  <c r="CO30" i="8"/>
  <c r="CN30" i="8"/>
  <c r="CM30" i="8"/>
  <c r="CL30" i="8"/>
  <c r="CK30" i="8"/>
  <c r="CJ30" i="8"/>
  <c r="CI30" i="8"/>
  <c r="CH30" i="8"/>
  <c r="CG30" i="8"/>
  <c r="CF30" i="8"/>
  <c r="CE30" i="8"/>
  <c r="CD30" i="8"/>
  <c r="CC30" i="8"/>
  <c r="CB30" i="8"/>
  <c r="CA30" i="8"/>
  <c r="BZ30" i="8"/>
  <c r="BY30" i="8"/>
  <c r="BX30" i="8"/>
  <c r="BW30" i="8"/>
  <c r="BV30" i="8"/>
  <c r="BU30" i="8"/>
  <c r="BT30" i="8"/>
  <c r="BS30" i="8"/>
  <c r="BR30" i="8"/>
  <c r="BQ30" i="8"/>
  <c r="BP30" i="8"/>
  <c r="BO30" i="8"/>
  <c r="BM30" i="8"/>
  <c r="BL30" i="8"/>
  <c r="BK30" i="8"/>
  <c r="BJ30" i="8"/>
  <c r="BI30" i="8"/>
  <c r="BH30" i="8"/>
  <c r="BG30" i="8"/>
  <c r="BF30" i="8"/>
  <c r="BE30" i="8"/>
  <c r="BD30" i="8"/>
  <c r="BC30" i="8"/>
  <c r="BB30" i="8"/>
  <c r="BA30" i="8"/>
  <c r="AZ30" i="8"/>
  <c r="AY30" i="8"/>
  <c r="AX30" i="8"/>
  <c r="AW30" i="8"/>
  <c r="AV30" i="8"/>
  <c r="AU30" i="8"/>
  <c r="AT30" i="8"/>
  <c r="AS30" i="8"/>
  <c r="AR30" i="8"/>
  <c r="AQ30" i="8"/>
  <c r="AP30" i="8"/>
  <c r="AO30" i="8"/>
  <c r="AN30" i="8"/>
  <c r="AM30" i="8"/>
  <c r="AL30" i="8"/>
  <c r="AJ30" i="8"/>
  <c r="AI30" i="8"/>
  <c r="AH30" i="8"/>
  <c r="AG30" i="8"/>
  <c r="AF30" i="8"/>
  <c r="AE30" i="8"/>
  <c r="AD30" i="8"/>
  <c r="AC30" i="8"/>
  <c r="AB30" i="8"/>
  <c r="AA30" i="8"/>
  <c r="Z30" i="8"/>
  <c r="Y30" i="8"/>
  <c r="X30" i="8"/>
  <c r="W30" i="8"/>
  <c r="V30" i="8"/>
  <c r="U30" i="8"/>
  <c r="T30" i="8"/>
  <c r="S30" i="8"/>
  <c r="R30" i="8"/>
  <c r="Q30" i="8"/>
  <c r="P30" i="8"/>
  <c r="O30" i="8"/>
  <c r="N30" i="8"/>
  <c r="M30" i="8"/>
  <c r="E30" i="8"/>
  <c r="ED29" i="8"/>
  <c r="EC29" i="8"/>
  <c r="EB29" i="8"/>
  <c r="EA29" i="8"/>
  <c r="DZ29" i="8"/>
  <c r="DY29" i="8"/>
  <c r="DX29" i="8"/>
  <c r="DW29" i="8"/>
  <c r="DV29" i="8"/>
  <c r="DU29" i="8"/>
  <c r="DT29" i="8"/>
  <c r="DS29" i="8"/>
  <c r="DR29" i="8"/>
  <c r="DQ29" i="8"/>
  <c r="DP29" i="8"/>
  <c r="DO29" i="8"/>
  <c r="DN29" i="8"/>
  <c r="DM29" i="8"/>
  <c r="DL29" i="8"/>
  <c r="DK29" i="8"/>
  <c r="DJ29" i="8"/>
  <c r="DI29" i="8"/>
  <c r="DH29" i="8"/>
  <c r="DG29" i="8"/>
  <c r="DF29" i="8"/>
  <c r="DE29" i="8"/>
  <c r="DD29" i="8"/>
  <c r="DC29" i="8"/>
  <c r="DB29" i="8"/>
  <c r="DA29" i="8"/>
  <c r="CZ29" i="8"/>
  <c r="CY29" i="8"/>
  <c r="CX29" i="8"/>
  <c r="CW29" i="8"/>
  <c r="CV29" i="8"/>
  <c r="CU29" i="8"/>
  <c r="CT29" i="8"/>
  <c r="CS29" i="8"/>
  <c r="CR29" i="8"/>
  <c r="CQ29" i="8"/>
  <c r="CP29" i="8"/>
  <c r="CO29" i="8"/>
  <c r="CN29" i="8"/>
  <c r="CM29" i="8"/>
  <c r="CL29" i="8"/>
  <c r="CK29" i="8"/>
  <c r="CJ29" i="8"/>
  <c r="CI29" i="8"/>
  <c r="CH29" i="8"/>
  <c r="CG29" i="8"/>
  <c r="CF29" i="8"/>
  <c r="CE29" i="8"/>
  <c r="CD29" i="8"/>
  <c r="CC29" i="8"/>
  <c r="CB29" i="8"/>
  <c r="CA29" i="8"/>
  <c r="BZ29" i="8"/>
  <c r="BY29" i="8"/>
  <c r="BX29" i="8"/>
  <c r="BW29" i="8"/>
  <c r="BV29" i="8"/>
  <c r="BU29" i="8"/>
  <c r="BT29" i="8"/>
  <c r="BS29" i="8"/>
  <c r="BR29" i="8"/>
  <c r="BQ29" i="8"/>
  <c r="BP29" i="8"/>
  <c r="BO29" i="8"/>
  <c r="BM29" i="8"/>
  <c r="BL29" i="8"/>
  <c r="BK29" i="8"/>
  <c r="BJ29" i="8"/>
  <c r="BI29" i="8"/>
  <c r="BH29" i="8"/>
  <c r="BG29" i="8"/>
  <c r="BF29" i="8"/>
  <c r="BE29" i="8"/>
  <c r="BD29" i="8"/>
  <c r="BC29" i="8"/>
  <c r="BB29" i="8"/>
  <c r="BA29" i="8"/>
  <c r="AZ29" i="8"/>
  <c r="AY29" i="8"/>
  <c r="AX29" i="8"/>
  <c r="AW29" i="8"/>
  <c r="AV29" i="8"/>
  <c r="AU29" i="8"/>
  <c r="AT29" i="8"/>
  <c r="AS29" i="8"/>
  <c r="AR29" i="8"/>
  <c r="AQ29" i="8"/>
  <c r="AP29" i="8"/>
  <c r="AO29" i="8"/>
  <c r="AN29" i="8"/>
  <c r="AM29" i="8"/>
  <c r="AL29" i="8"/>
  <c r="AJ29" i="8"/>
  <c r="AI29" i="8"/>
  <c r="AH29" i="8"/>
  <c r="AG29" i="8"/>
  <c r="AF29" i="8"/>
  <c r="AE29" i="8"/>
  <c r="AD29" i="8"/>
  <c r="AC29" i="8"/>
  <c r="AB29" i="8"/>
  <c r="AA29" i="8"/>
  <c r="Z29" i="8"/>
  <c r="Y29" i="8"/>
  <c r="X29" i="8"/>
  <c r="W29" i="8"/>
  <c r="V29" i="8"/>
  <c r="U29" i="8"/>
  <c r="T29" i="8"/>
  <c r="S29" i="8"/>
  <c r="R29" i="8"/>
  <c r="Q29" i="8"/>
  <c r="P29" i="8"/>
  <c r="O29" i="8"/>
  <c r="N29" i="8"/>
  <c r="M29" i="8"/>
  <c r="ED28" i="8"/>
  <c r="EC28" i="8"/>
  <c r="EB28" i="8"/>
  <c r="EA28" i="8"/>
  <c r="DZ28" i="8"/>
  <c r="DY28" i="8"/>
  <c r="DX28" i="8"/>
  <c r="DW28" i="8"/>
  <c r="DV28" i="8"/>
  <c r="DU28" i="8"/>
  <c r="DT28" i="8"/>
  <c r="DS28" i="8"/>
  <c r="DR28" i="8"/>
  <c r="DQ28" i="8"/>
  <c r="DP28" i="8"/>
  <c r="DO28" i="8"/>
  <c r="DN28" i="8"/>
  <c r="DM28" i="8"/>
  <c r="DL28" i="8"/>
  <c r="DK28" i="8"/>
  <c r="DJ28" i="8"/>
  <c r="DI28" i="8"/>
  <c r="DH28" i="8"/>
  <c r="DG28" i="8"/>
  <c r="DF28" i="8"/>
  <c r="DE28" i="8"/>
  <c r="DD28" i="8"/>
  <c r="DC28" i="8"/>
  <c r="DB28" i="8"/>
  <c r="DA28" i="8"/>
  <c r="CZ28" i="8"/>
  <c r="CY28" i="8"/>
  <c r="CX28" i="8"/>
  <c r="CW28" i="8"/>
  <c r="CV28" i="8"/>
  <c r="CU28" i="8"/>
  <c r="CT28" i="8"/>
  <c r="CS28" i="8"/>
  <c r="CR28" i="8"/>
  <c r="CQ28" i="8"/>
  <c r="CP28" i="8"/>
  <c r="CO28" i="8"/>
  <c r="CN28" i="8"/>
  <c r="CM28" i="8"/>
  <c r="CL28" i="8"/>
  <c r="CK28" i="8"/>
  <c r="CJ28" i="8"/>
  <c r="CI28" i="8"/>
  <c r="CH28" i="8"/>
  <c r="CG28" i="8"/>
  <c r="CF28" i="8"/>
  <c r="CE28" i="8"/>
  <c r="CD28" i="8"/>
  <c r="CC28" i="8"/>
  <c r="CB28" i="8"/>
  <c r="CA28" i="8"/>
  <c r="BZ28" i="8"/>
  <c r="BY28" i="8"/>
  <c r="BX28" i="8"/>
  <c r="BW28" i="8"/>
  <c r="BV28" i="8"/>
  <c r="BU28" i="8"/>
  <c r="BT28" i="8"/>
  <c r="BS28" i="8"/>
  <c r="BR28" i="8"/>
  <c r="BQ28" i="8"/>
  <c r="BP28" i="8"/>
  <c r="BO28" i="8"/>
  <c r="BM28" i="8"/>
  <c r="BL28" i="8"/>
  <c r="BK28" i="8"/>
  <c r="BJ28" i="8"/>
  <c r="BI28" i="8"/>
  <c r="BH28" i="8"/>
  <c r="BG28" i="8"/>
  <c r="BF28" i="8"/>
  <c r="BE28" i="8"/>
  <c r="BD28" i="8"/>
  <c r="BC28" i="8"/>
  <c r="BB28" i="8"/>
  <c r="BA28" i="8"/>
  <c r="AZ28" i="8"/>
  <c r="AY28" i="8"/>
  <c r="AX28" i="8"/>
  <c r="AW28" i="8"/>
  <c r="AV28" i="8"/>
  <c r="AU28" i="8"/>
  <c r="AT28" i="8"/>
  <c r="AS28" i="8"/>
  <c r="AR28" i="8"/>
  <c r="AQ28" i="8"/>
  <c r="AP28" i="8"/>
  <c r="AO28" i="8"/>
  <c r="AN28" i="8"/>
  <c r="AM28" i="8"/>
  <c r="AL28" i="8"/>
  <c r="AJ28" i="8"/>
  <c r="AI28" i="8"/>
  <c r="AH28" i="8"/>
  <c r="AG28" i="8"/>
  <c r="AF28" i="8"/>
  <c r="AE28" i="8"/>
  <c r="AD28" i="8"/>
  <c r="AC28" i="8"/>
  <c r="AB28" i="8"/>
  <c r="AA28" i="8"/>
  <c r="Z28" i="8"/>
  <c r="Y28" i="8"/>
  <c r="X28" i="8"/>
  <c r="W28" i="8"/>
  <c r="V28" i="8"/>
  <c r="U28" i="8"/>
  <c r="T28" i="8"/>
  <c r="S28" i="8"/>
  <c r="R28" i="8"/>
  <c r="Q28" i="8"/>
  <c r="P28" i="8"/>
  <c r="O28" i="8"/>
  <c r="N28" i="8"/>
  <c r="M28" i="8"/>
  <c r="ED27" i="8"/>
  <c r="EC27" i="8"/>
  <c r="EB27" i="8"/>
  <c r="EA27" i="8"/>
  <c r="DZ27" i="8"/>
  <c r="DY27" i="8"/>
  <c r="DX27" i="8"/>
  <c r="DW27" i="8"/>
  <c r="DV27" i="8"/>
  <c r="DU27" i="8"/>
  <c r="DT27" i="8"/>
  <c r="DS27" i="8"/>
  <c r="DR27" i="8"/>
  <c r="DQ27" i="8"/>
  <c r="DP27" i="8"/>
  <c r="DO27" i="8"/>
  <c r="DN27" i="8"/>
  <c r="DM27" i="8"/>
  <c r="DL27" i="8"/>
  <c r="DK27" i="8"/>
  <c r="DJ27" i="8"/>
  <c r="DI27" i="8"/>
  <c r="DH27" i="8"/>
  <c r="DG27" i="8"/>
  <c r="DF27" i="8"/>
  <c r="DE27" i="8"/>
  <c r="DD27" i="8"/>
  <c r="DC27" i="8"/>
  <c r="DB27" i="8"/>
  <c r="DA27" i="8"/>
  <c r="CZ27" i="8"/>
  <c r="CY27" i="8"/>
  <c r="CX27" i="8"/>
  <c r="CW27" i="8"/>
  <c r="CV27" i="8"/>
  <c r="CU27" i="8"/>
  <c r="CT27" i="8"/>
  <c r="CS27" i="8"/>
  <c r="CR27" i="8"/>
  <c r="CQ27" i="8"/>
  <c r="CP27" i="8"/>
  <c r="CO27" i="8"/>
  <c r="CN27" i="8"/>
  <c r="CM27" i="8"/>
  <c r="CL27" i="8"/>
  <c r="CK27" i="8"/>
  <c r="CJ27" i="8"/>
  <c r="CI27" i="8"/>
  <c r="CH27" i="8"/>
  <c r="CG27" i="8"/>
  <c r="CF27" i="8"/>
  <c r="CE27" i="8"/>
  <c r="CD27" i="8"/>
  <c r="CC27" i="8"/>
  <c r="CB27" i="8"/>
  <c r="CA27" i="8"/>
  <c r="BZ27" i="8"/>
  <c r="BY27" i="8"/>
  <c r="BX27" i="8"/>
  <c r="BW27" i="8"/>
  <c r="BV27" i="8"/>
  <c r="BU27" i="8"/>
  <c r="BT27" i="8"/>
  <c r="BS27" i="8"/>
  <c r="BR27" i="8"/>
  <c r="BQ27" i="8"/>
  <c r="BP27" i="8"/>
  <c r="BO27" i="8"/>
  <c r="BM27" i="8"/>
  <c r="BL27" i="8"/>
  <c r="BK27" i="8"/>
  <c r="BJ27" i="8"/>
  <c r="BI27" i="8"/>
  <c r="BH27" i="8"/>
  <c r="BG27" i="8"/>
  <c r="BF27" i="8"/>
  <c r="BE27" i="8"/>
  <c r="BD27" i="8"/>
  <c r="BC27" i="8"/>
  <c r="BB27" i="8"/>
  <c r="BA27" i="8"/>
  <c r="AZ27" i="8"/>
  <c r="AY27" i="8"/>
  <c r="AX27" i="8"/>
  <c r="AW27" i="8"/>
  <c r="AV27" i="8"/>
  <c r="AU27" i="8"/>
  <c r="AT27" i="8"/>
  <c r="AS27" i="8"/>
  <c r="AR27" i="8"/>
  <c r="AQ27" i="8"/>
  <c r="AP27" i="8"/>
  <c r="AO27" i="8"/>
  <c r="AN27" i="8"/>
  <c r="AM27" i="8"/>
  <c r="AL27" i="8"/>
  <c r="AJ27" i="8"/>
  <c r="AI27" i="8"/>
  <c r="AH27" i="8"/>
  <c r="AG27" i="8"/>
  <c r="AF27" i="8"/>
  <c r="AE27" i="8"/>
  <c r="AD27" i="8"/>
  <c r="AC27" i="8"/>
  <c r="AB27" i="8"/>
  <c r="AA27" i="8"/>
  <c r="Z27" i="8"/>
  <c r="Y27" i="8"/>
  <c r="X27" i="8"/>
  <c r="W27" i="8"/>
  <c r="V27" i="8"/>
  <c r="U27" i="8"/>
  <c r="T27" i="8"/>
  <c r="S27" i="8"/>
  <c r="R27" i="8"/>
  <c r="Q27" i="8"/>
  <c r="P27" i="8"/>
  <c r="O27" i="8"/>
  <c r="N27" i="8"/>
  <c r="M27" i="8"/>
  <c r="ED26" i="8"/>
  <c r="EC26" i="8"/>
  <c r="EB26" i="8"/>
  <c r="EA26" i="8"/>
  <c r="DZ26" i="8"/>
  <c r="DY26" i="8"/>
  <c r="DX26" i="8"/>
  <c r="DW26" i="8"/>
  <c r="DV26" i="8"/>
  <c r="DU26" i="8"/>
  <c r="DT26" i="8"/>
  <c r="DS26" i="8"/>
  <c r="DR26" i="8"/>
  <c r="DQ26" i="8"/>
  <c r="DP26" i="8"/>
  <c r="DO26" i="8"/>
  <c r="DN26" i="8"/>
  <c r="DM26" i="8"/>
  <c r="DL26" i="8"/>
  <c r="DK26" i="8"/>
  <c r="DJ26" i="8"/>
  <c r="DI26" i="8"/>
  <c r="DH26" i="8"/>
  <c r="DG26" i="8"/>
  <c r="DF26" i="8"/>
  <c r="DE26" i="8"/>
  <c r="DD26" i="8"/>
  <c r="DC26" i="8"/>
  <c r="DB26" i="8"/>
  <c r="DA26" i="8"/>
  <c r="CZ26" i="8"/>
  <c r="CY26" i="8"/>
  <c r="CX26" i="8"/>
  <c r="CW26" i="8"/>
  <c r="CV26" i="8"/>
  <c r="CU26" i="8"/>
  <c r="CT26" i="8"/>
  <c r="CS26" i="8"/>
  <c r="CR26" i="8"/>
  <c r="CQ26" i="8"/>
  <c r="CP26" i="8"/>
  <c r="CO26" i="8"/>
  <c r="CN26" i="8"/>
  <c r="CM26" i="8"/>
  <c r="CL26" i="8"/>
  <c r="CK26" i="8"/>
  <c r="CJ26" i="8"/>
  <c r="CI26" i="8"/>
  <c r="CH26" i="8"/>
  <c r="CG26" i="8"/>
  <c r="CF26" i="8"/>
  <c r="CE26" i="8"/>
  <c r="CD26" i="8"/>
  <c r="CC26" i="8"/>
  <c r="CB26" i="8"/>
  <c r="CA26" i="8"/>
  <c r="BZ26" i="8"/>
  <c r="BY26" i="8"/>
  <c r="BX26" i="8"/>
  <c r="BW26" i="8"/>
  <c r="BV26" i="8"/>
  <c r="BU26" i="8"/>
  <c r="BT26" i="8"/>
  <c r="BS26" i="8"/>
  <c r="BR26" i="8"/>
  <c r="BQ26" i="8"/>
  <c r="BP26" i="8"/>
  <c r="BO26" i="8"/>
  <c r="BM26" i="8"/>
  <c r="BL26" i="8"/>
  <c r="BK26" i="8"/>
  <c r="BJ26" i="8"/>
  <c r="BI26" i="8"/>
  <c r="BH26" i="8"/>
  <c r="BG26" i="8"/>
  <c r="BF26" i="8"/>
  <c r="BE26" i="8"/>
  <c r="BD26" i="8"/>
  <c r="BC26" i="8"/>
  <c r="BB26" i="8"/>
  <c r="BA26" i="8"/>
  <c r="AZ26" i="8"/>
  <c r="AY26" i="8"/>
  <c r="AX26" i="8"/>
  <c r="AW26" i="8"/>
  <c r="AV26" i="8"/>
  <c r="AU26" i="8"/>
  <c r="AT26" i="8"/>
  <c r="AS26" i="8"/>
  <c r="AR26" i="8"/>
  <c r="AQ26" i="8"/>
  <c r="AP26" i="8"/>
  <c r="AO26" i="8"/>
  <c r="AN26" i="8"/>
  <c r="AM26" i="8"/>
  <c r="AL26" i="8"/>
  <c r="AJ26" i="8"/>
  <c r="AI26" i="8"/>
  <c r="AH26" i="8"/>
  <c r="AG26" i="8"/>
  <c r="AF26" i="8"/>
  <c r="AE26" i="8"/>
  <c r="AD26" i="8"/>
  <c r="AC26" i="8"/>
  <c r="AB26" i="8"/>
  <c r="AA26" i="8"/>
  <c r="Z26" i="8"/>
  <c r="Y26" i="8"/>
  <c r="X26" i="8"/>
  <c r="W26" i="8"/>
  <c r="V26" i="8"/>
  <c r="U26" i="8"/>
  <c r="T26" i="8"/>
  <c r="S26" i="8"/>
  <c r="R26" i="8"/>
  <c r="Q26" i="8"/>
  <c r="P26" i="8"/>
  <c r="O26" i="8"/>
  <c r="N26" i="8"/>
  <c r="M26" i="8"/>
  <c r="L26" i="8"/>
  <c r="J26" i="8"/>
  <c r="F26" i="8"/>
  <c r="E26" i="8"/>
  <c r="ED25" i="8"/>
  <c r="EC25" i="8"/>
  <c r="EB25" i="8"/>
  <c r="EA25" i="8"/>
  <c r="DZ25" i="8"/>
  <c r="DY25" i="8"/>
  <c r="DX25" i="8"/>
  <c r="DW25" i="8"/>
  <c r="DV25" i="8"/>
  <c r="DU25" i="8"/>
  <c r="DT25" i="8"/>
  <c r="DS25" i="8"/>
  <c r="DR25" i="8"/>
  <c r="DQ25" i="8"/>
  <c r="DP25" i="8"/>
  <c r="DO25" i="8"/>
  <c r="DN25" i="8"/>
  <c r="DM25" i="8"/>
  <c r="DL25" i="8"/>
  <c r="DK25" i="8"/>
  <c r="DJ25" i="8"/>
  <c r="DI25" i="8"/>
  <c r="DH25" i="8"/>
  <c r="DG25" i="8"/>
  <c r="DF25" i="8"/>
  <c r="DE25" i="8"/>
  <c r="DD25" i="8"/>
  <c r="DC25" i="8"/>
  <c r="DB25" i="8"/>
  <c r="DA25" i="8"/>
  <c r="CZ25" i="8"/>
  <c r="CY25" i="8"/>
  <c r="CX25" i="8"/>
  <c r="CW25" i="8"/>
  <c r="CV25" i="8"/>
  <c r="CU25" i="8"/>
  <c r="CT25" i="8"/>
  <c r="CS25" i="8"/>
  <c r="CR25" i="8"/>
  <c r="CQ25" i="8"/>
  <c r="CP25" i="8"/>
  <c r="CO25" i="8"/>
  <c r="CN25" i="8"/>
  <c r="CM25" i="8"/>
  <c r="CL25" i="8"/>
  <c r="CK25" i="8"/>
  <c r="CJ25" i="8"/>
  <c r="CI25" i="8"/>
  <c r="CH25" i="8"/>
  <c r="CG25" i="8"/>
  <c r="CF25" i="8"/>
  <c r="CE25" i="8"/>
  <c r="CD25" i="8"/>
  <c r="CC25" i="8"/>
  <c r="CB25" i="8"/>
  <c r="CA25" i="8"/>
  <c r="BZ25" i="8"/>
  <c r="BY25" i="8"/>
  <c r="BX25" i="8"/>
  <c r="BW25" i="8"/>
  <c r="BV25" i="8"/>
  <c r="BU25" i="8"/>
  <c r="BT25" i="8"/>
  <c r="BS25" i="8"/>
  <c r="BR25" i="8"/>
  <c r="BQ25" i="8"/>
  <c r="BP25" i="8"/>
  <c r="BO25" i="8"/>
  <c r="BM25" i="8"/>
  <c r="BL25" i="8"/>
  <c r="BK25" i="8"/>
  <c r="BJ25" i="8"/>
  <c r="BI25" i="8"/>
  <c r="BH25" i="8"/>
  <c r="BG25" i="8"/>
  <c r="BF25" i="8"/>
  <c r="BE25" i="8"/>
  <c r="BD25" i="8"/>
  <c r="BC25" i="8"/>
  <c r="BB25" i="8"/>
  <c r="BA25" i="8"/>
  <c r="AZ25" i="8"/>
  <c r="AY25" i="8"/>
  <c r="AX25" i="8"/>
  <c r="AW25" i="8"/>
  <c r="AV25" i="8"/>
  <c r="AU25" i="8"/>
  <c r="AT25" i="8"/>
  <c r="AS25" i="8"/>
  <c r="AR25" i="8"/>
  <c r="AQ25" i="8"/>
  <c r="AP25" i="8"/>
  <c r="AO25" i="8"/>
  <c r="AN25" i="8"/>
  <c r="AM25" i="8"/>
  <c r="AL25" i="8"/>
  <c r="AJ25" i="8"/>
  <c r="AI25" i="8"/>
  <c r="AH25" i="8"/>
  <c r="AG25" i="8"/>
  <c r="AF25" i="8"/>
  <c r="AE25" i="8"/>
  <c r="AD25" i="8"/>
  <c r="AC25" i="8"/>
  <c r="AB25" i="8"/>
  <c r="AA25" i="8"/>
  <c r="Z25" i="8"/>
  <c r="Y25" i="8"/>
  <c r="X25" i="8"/>
  <c r="W25" i="8"/>
  <c r="V25" i="8"/>
  <c r="U25" i="8"/>
  <c r="T25" i="8"/>
  <c r="S25" i="8"/>
  <c r="R25" i="8"/>
  <c r="Q25" i="8"/>
  <c r="P25" i="8"/>
  <c r="O25" i="8"/>
  <c r="N25" i="8"/>
  <c r="M25" i="8"/>
  <c r="L25" i="8"/>
  <c r="J25" i="8"/>
  <c r="F25" i="8"/>
  <c r="E25" i="8"/>
  <c r="ED24" i="8"/>
  <c r="EC24" i="8"/>
  <c r="EB24" i="8"/>
  <c r="EA24" i="8"/>
  <c r="DZ24" i="8"/>
  <c r="DY24" i="8"/>
  <c r="DX24" i="8"/>
  <c r="DW24" i="8"/>
  <c r="DV24" i="8"/>
  <c r="DU24" i="8"/>
  <c r="DT24" i="8"/>
  <c r="DS24" i="8"/>
  <c r="DR24" i="8"/>
  <c r="DQ24" i="8"/>
  <c r="DP24" i="8"/>
  <c r="DO24" i="8"/>
  <c r="DN24" i="8"/>
  <c r="DM24" i="8"/>
  <c r="DL24" i="8"/>
  <c r="DK24" i="8"/>
  <c r="DJ24" i="8"/>
  <c r="DI24" i="8"/>
  <c r="DH24" i="8"/>
  <c r="DG24" i="8"/>
  <c r="DF24" i="8"/>
  <c r="DE24" i="8"/>
  <c r="DD24" i="8"/>
  <c r="DC24" i="8"/>
  <c r="DB24" i="8"/>
  <c r="DA24" i="8"/>
  <c r="CZ24" i="8"/>
  <c r="CY24" i="8"/>
  <c r="CX24" i="8"/>
  <c r="CW24" i="8"/>
  <c r="CV24" i="8"/>
  <c r="CU24" i="8"/>
  <c r="CT24" i="8"/>
  <c r="CS24" i="8"/>
  <c r="CR24" i="8"/>
  <c r="CQ24" i="8"/>
  <c r="CP24" i="8"/>
  <c r="CO24" i="8"/>
  <c r="CN24" i="8"/>
  <c r="CM24" i="8"/>
  <c r="CL24" i="8"/>
  <c r="CK24" i="8"/>
  <c r="CJ24" i="8"/>
  <c r="CI24" i="8"/>
  <c r="CH24" i="8"/>
  <c r="CG24" i="8"/>
  <c r="CF24" i="8"/>
  <c r="CE24" i="8"/>
  <c r="CD24" i="8"/>
  <c r="CC24" i="8"/>
  <c r="CB24" i="8"/>
  <c r="CA24" i="8"/>
  <c r="BZ24" i="8"/>
  <c r="BY24" i="8"/>
  <c r="BX24" i="8"/>
  <c r="BW24" i="8"/>
  <c r="BV24" i="8"/>
  <c r="BU24" i="8"/>
  <c r="BT24" i="8"/>
  <c r="BS24" i="8"/>
  <c r="BR24" i="8"/>
  <c r="BQ24" i="8"/>
  <c r="BP24" i="8"/>
  <c r="BO24" i="8"/>
  <c r="BM24" i="8"/>
  <c r="BL24" i="8"/>
  <c r="BK24" i="8"/>
  <c r="BJ24" i="8"/>
  <c r="BI24" i="8"/>
  <c r="BH24" i="8"/>
  <c r="BG24" i="8"/>
  <c r="BF24" i="8"/>
  <c r="BE24" i="8"/>
  <c r="BD24" i="8"/>
  <c r="BC24" i="8"/>
  <c r="BB24" i="8"/>
  <c r="BA24" i="8"/>
  <c r="AZ24" i="8"/>
  <c r="AY24" i="8"/>
  <c r="AX24" i="8"/>
  <c r="AW24" i="8"/>
  <c r="AV24" i="8"/>
  <c r="AU24" i="8"/>
  <c r="AT24" i="8"/>
  <c r="AS24" i="8"/>
  <c r="AR24" i="8"/>
  <c r="AQ24" i="8"/>
  <c r="AP24" i="8"/>
  <c r="AO24" i="8"/>
  <c r="AN24" i="8"/>
  <c r="AM24" i="8"/>
  <c r="AL24" i="8"/>
  <c r="AJ24" i="8"/>
  <c r="AI24" i="8"/>
  <c r="AH24" i="8"/>
  <c r="AG24" i="8"/>
  <c r="AF24" i="8"/>
  <c r="AE24" i="8"/>
  <c r="AD24" i="8"/>
  <c r="AC24" i="8"/>
  <c r="AB24" i="8"/>
  <c r="AA24" i="8"/>
  <c r="Z24" i="8"/>
  <c r="Y24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J24" i="8"/>
  <c r="F24" i="8"/>
  <c r="E24" i="8"/>
  <c r="ED23" i="8"/>
  <c r="EC23" i="8"/>
  <c r="EB23" i="8"/>
  <c r="EA23" i="8"/>
  <c r="DZ23" i="8"/>
  <c r="DY23" i="8"/>
  <c r="DX23" i="8"/>
  <c r="DW23" i="8"/>
  <c r="DV23" i="8"/>
  <c r="DU23" i="8"/>
  <c r="DT23" i="8"/>
  <c r="DS23" i="8"/>
  <c r="DR23" i="8"/>
  <c r="DQ23" i="8"/>
  <c r="DP23" i="8"/>
  <c r="DO23" i="8"/>
  <c r="DN23" i="8"/>
  <c r="DM23" i="8"/>
  <c r="DL23" i="8"/>
  <c r="DK23" i="8"/>
  <c r="DJ23" i="8"/>
  <c r="DI23" i="8"/>
  <c r="DH23" i="8"/>
  <c r="DG23" i="8"/>
  <c r="DF23" i="8"/>
  <c r="DE23" i="8"/>
  <c r="DD23" i="8"/>
  <c r="DC23" i="8"/>
  <c r="DB23" i="8"/>
  <c r="DA23" i="8"/>
  <c r="CZ23" i="8"/>
  <c r="CY23" i="8"/>
  <c r="CX23" i="8"/>
  <c r="CW23" i="8"/>
  <c r="CV23" i="8"/>
  <c r="CU23" i="8"/>
  <c r="CT23" i="8"/>
  <c r="CS23" i="8"/>
  <c r="CR23" i="8"/>
  <c r="CQ23" i="8"/>
  <c r="CP23" i="8"/>
  <c r="CO23" i="8"/>
  <c r="CN23" i="8"/>
  <c r="CM23" i="8"/>
  <c r="CL23" i="8"/>
  <c r="CK23" i="8"/>
  <c r="CJ23" i="8"/>
  <c r="CI23" i="8"/>
  <c r="CH23" i="8"/>
  <c r="CG23" i="8"/>
  <c r="CF23" i="8"/>
  <c r="CE23" i="8"/>
  <c r="CD23" i="8"/>
  <c r="CC23" i="8"/>
  <c r="CB23" i="8"/>
  <c r="CA23" i="8"/>
  <c r="BZ23" i="8"/>
  <c r="BY23" i="8"/>
  <c r="BX23" i="8"/>
  <c r="BW23" i="8"/>
  <c r="BV23" i="8"/>
  <c r="BU23" i="8"/>
  <c r="BT23" i="8"/>
  <c r="BS23" i="8"/>
  <c r="BR23" i="8"/>
  <c r="BQ23" i="8"/>
  <c r="BP23" i="8"/>
  <c r="BO23" i="8"/>
  <c r="BM23" i="8"/>
  <c r="BL23" i="8"/>
  <c r="BK23" i="8"/>
  <c r="BJ23" i="8"/>
  <c r="BI23" i="8"/>
  <c r="BH23" i="8"/>
  <c r="BG23" i="8"/>
  <c r="BF23" i="8"/>
  <c r="BE23" i="8"/>
  <c r="BD23" i="8"/>
  <c r="BC23" i="8"/>
  <c r="BB23" i="8"/>
  <c r="BA23" i="8"/>
  <c r="AZ23" i="8"/>
  <c r="AY23" i="8"/>
  <c r="AX23" i="8"/>
  <c r="AW23" i="8"/>
  <c r="AV23" i="8"/>
  <c r="AU23" i="8"/>
  <c r="AT23" i="8"/>
  <c r="AS23" i="8"/>
  <c r="AR23" i="8"/>
  <c r="AQ23" i="8"/>
  <c r="AP23" i="8"/>
  <c r="AO23" i="8"/>
  <c r="AN23" i="8"/>
  <c r="AM23" i="8"/>
  <c r="AL23" i="8"/>
  <c r="AJ23" i="8"/>
  <c r="AI23" i="8"/>
  <c r="AH23" i="8"/>
  <c r="AG23" i="8"/>
  <c r="AF23" i="8"/>
  <c r="AE23" i="8"/>
  <c r="AD23" i="8"/>
  <c r="AC23" i="8"/>
  <c r="AB23" i="8"/>
  <c r="AA23" i="8"/>
  <c r="Z23" i="8"/>
  <c r="Y23" i="8"/>
  <c r="X23" i="8"/>
  <c r="W23" i="8"/>
  <c r="V23" i="8"/>
  <c r="U23" i="8"/>
  <c r="T23" i="8"/>
  <c r="S23" i="8"/>
  <c r="R23" i="8"/>
  <c r="Q23" i="8"/>
  <c r="P23" i="8"/>
  <c r="O23" i="8"/>
  <c r="N23" i="8"/>
  <c r="M23" i="8"/>
  <c r="L23" i="8"/>
  <c r="J23" i="8"/>
  <c r="F23" i="8"/>
  <c r="E23" i="8"/>
  <c r="ED22" i="8"/>
  <c r="EC22" i="8"/>
  <c r="EB22" i="8"/>
  <c r="EA22" i="8"/>
  <c r="DZ22" i="8"/>
  <c r="DY22" i="8"/>
  <c r="DX22" i="8"/>
  <c r="DW22" i="8"/>
  <c r="DV22" i="8"/>
  <c r="DU22" i="8"/>
  <c r="DT22" i="8"/>
  <c r="DS22" i="8"/>
  <c r="DR22" i="8"/>
  <c r="DQ22" i="8"/>
  <c r="DP22" i="8"/>
  <c r="DO22" i="8"/>
  <c r="DN22" i="8"/>
  <c r="DM22" i="8"/>
  <c r="DL22" i="8"/>
  <c r="DK22" i="8"/>
  <c r="DJ22" i="8"/>
  <c r="DI22" i="8"/>
  <c r="DH22" i="8"/>
  <c r="DG22" i="8"/>
  <c r="DF22" i="8"/>
  <c r="DE22" i="8"/>
  <c r="DD22" i="8"/>
  <c r="DC22" i="8"/>
  <c r="DB22" i="8"/>
  <c r="DA22" i="8"/>
  <c r="CZ22" i="8"/>
  <c r="CY22" i="8"/>
  <c r="CX22" i="8"/>
  <c r="CW22" i="8"/>
  <c r="CV22" i="8"/>
  <c r="CU22" i="8"/>
  <c r="CT22" i="8"/>
  <c r="CS22" i="8"/>
  <c r="CR22" i="8"/>
  <c r="CQ22" i="8"/>
  <c r="CP22" i="8"/>
  <c r="CO22" i="8"/>
  <c r="CN22" i="8"/>
  <c r="CM22" i="8"/>
  <c r="CL22" i="8"/>
  <c r="CK22" i="8"/>
  <c r="CJ22" i="8"/>
  <c r="CI22" i="8"/>
  <c r="CH22" i="8"/>
  <c r="CG22" i="8"/>
  <c r="CF22" i="8"/>
  <c r="CE22" i="8"/>
  <c r="CD22" i="8"/>
  <c r="CC22" i="8"/>
  <c r="CB22" i="8"/>
  <c r="CA22" i="8"/>
  <c r="BZ22" i="8"/>
  <c r="BY22" i="8"/>
  <c r="BX22" i="8"/>
  <c r="BW22" i="8"/>
  <c r="BV22" i="8"/>
  <c r="BU22" i="8"/>
  <c r="BT22" i="8"/>
  <c r="BS22" i="8"/>
  <c r="BR22" i="8"/>
  <c r="BQ22" i="8"/>
  <c r="BP22" i="8"/>
  <c r="BO22" i="8"/>
  <c r="BM22" i="8"/>
  <c r="BL22" i="8"/>
  <c r="BK22" i="8"/>
  <c r="BJ22" i="8"/>
  <c r="BI22" i="8"/>
  <c r="BH22" i="8"/>
  <c r="BG22" i="8"/>
  <c r="BF22" i="8"/>
  <c r="BE22" i="8"/>
  <c r="BD22" i="8"/>
  <c r="BC22" i="8"/>
  <c r="BB22" i="8"/>
  <c r="BA22" i="8"/>
  <c r="AZ22" i="8"/>
  <c r="AY22" i="8"/>
  <c r="AX22" i="8"/>
  <c r="AW22" i="8"/>
  <c r="AV22" i="8"/>
  <c r="AU22" i="8"/>
  <c r="AT22" i="8"/>
  <c r="AS22" i="8"/>
  <c r="AR22" i="8"/>
  <c r="AQ22" i="8"/>
  <c r="AP22" i="8"/>
  <c r="AO22" i="8"/>
  <c r="AN22" i="8"/>
  <c r="AM22" i="8"/>
  <c r="AL22" i="8"/>
  <c r="AJ22" i="8"/>
  <c r="AI22" i="8"/>
  <c r="AH22" i="8"/>
  <c r="AG22" i="8"/>
  <c r="AF22" i="8"/>
  <c r="AE22" i="8"/>
  <c r="AD22" i="8"/>
  <c r="AC22" i="8"/>
  <c r="AB22" i="8"/>
  <c r="AA22" i="8"/>
  <c r="Z22" i="8"/>
  <c r="Y22" i="8"/>
  <c r="X22" i="8"/>
  <c r="W22" i="8"/>
  <c r="V22" i="8"/>
  <c r="U22" i="8"/>
  <c r="T22" i="8"/>
  <c r="S22" i="8"/>
  <c r="R22" i="8"/>
  <c r="Q22" i="8"/>
  <c r="P22" i="8"/>
  <c r="O22" i="8"/>
  <c r="N22" i="8"/>
  <c r="M22" i="8"/>
  <c r="L22" i="8"/>
  <c r="J22" i="8"/>
  <c r="F22" i="8"/>
  <c r="E22" i="8"/>
  <c r="ED21" i="8"/>
  <c r="EC21" i="8"/>
  <c r="EB21" i="8"/>
  <c r="EA21" i="8"/>
  <c r="DZ21" i="8"/>
  <c r="DY21" i="8"/>
  <c r="DX21" i="8"/>
  <c r="DW21" i="8"/>
  <c r="DV21" i="8"/>
  <c r="DU21" i="8"/>
  <c r="DT21" i="8"/>
  <c r="DS21" i="8"/>
  <c r="DR21" i="8"/>
  <c r="DQ21" i="8"/>
  <c r="DP21" i="8"/>
  <c r="DO21" i="8"/>
  <c r="DN21" i="8"/>
  <c r="DM21" i="8"/>
  <c r="DL21" i="8"/>
  <c r="DK21" i="8"/>
  <c r="DJ21" i="8"/>
  <c r="DI21" i="8"/>
  <c r="DH21" i="8"/>
  <c r="DG21" i="8"/>
  <c r="DF21" i="8"/>
  <c r="DE21" i="8"/>
  <c r="DD21" i="8"/>
  <c r="DC21" i="8"/>
  <c r="DB21" i="8"/>
  <c r="DA21" i="8"/>
  <c r="CZ21" i="8"/>
  <c r="CY21" i="8"/>
  <c r="CX21" i="8"/>
  <c r="CW21" i="8"/>
  <c r="CV21" i="8"/>
  <c r="CU21" i="8"/>
  <c r="CT21" i="8"/>
  <c r="CS21" i="8"/>
  <c r="CR21" i="8"/>
  <c r="CQ21" i="8"/>
  <c r="CP21" i="8"/>
  <c r="CO21" i="8"/>
  <c r="CN21" i="8"/>
  <c r="CM21" i="8"/>
  <c r="CL21" i="8"/>
  <c r="CK21" i="8"/>
  <c r="CJ21" i="8"/>
  <c r="CI21" i="8"/>
  <c r="CH21" i="8"/>
  <c r="CG21" i="8"/>
  <c r="CF21" i="8"/>
  <c r="CE21" i="8"/>
  <c r="CD21" i="8"/>
  <c r="CC21" i="8"/>
  <c r="CB21" i="8"/>
  <c r="CA21" i="8"/>
  <c r="BZ21" i="8"/>
  <c r="BY21" i="8"/>
  <c r="BX21" i="8"/>
  <c r="BW21" i="8"/>
  <c r="BV21" i="8"/>
  <c r="BU21" i="8"/>
  <c r="BT21" i="8"/>
  <c r="BS21" i="8"/>
  <c r="BR21" i="8"/>
  <c r="BQ21" i="8"/>
  <c r="BP21" i="8"/>
  <c r="BO21" i="8"/>
  <c r="BM21" i="8"/>
  <c r="BL21" i="8"/>
  <c r="BK21" i="8"/>
  <c r="BJ21" i="8"/>
  <c r="BI21" i="8"/>
  <c r="BH21" i="8"/>
  <c r="BG21" i="8"/>
  <c r="BF21" i="8"/>
  <c r="BE21" i="8"/>
  <c r="BD21" i="8"/>
  <c r="BC21" i="8"/>
  <c r="BB21" i="8"/>
  <c r="BA21" i="8"/>
  <c r="AZ21" i="8"/>
  <c r="AY21" i="8"/>
  <c r="AX21" i="8"/>
  <c r="AW21" i="8"/>
  <c r="AV21" i="8"/>
  <c r="AU21" i="8"/>
  <c r="AT21" i="8"/>
  <c r="AS21" i="8"/>
  <c r="AR21" i="8"/>
  <c r="AQ21" i="8"/>
  <c r="AP21" i="8"/>
  <c r="AO21" i="8"/>
  <c r="AN21" i="8"/>
  <c r="AM21" i="8"/>
  <c r="AL21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J21" i="8"/>
  <c r="F21" i="8"/>
  <c r="E21" i="8"/>
  <c r="ED20" i="8"/>
  <c r="EC20" i="8"/>
  <c r="EB20" i="8"/>
  <c r="EA20" i="8"/>
  <c r="DZ20" i="8"/>
  <c r="DY20" i="8"/>
  <c r="DX20" i="8"/>
  <c r="DW20" i="8"/>
  <c r="DV20" i="8"/>
  <c r="DU20" i="8"/>
  <c r="DT20" i="8"/>
  <c r="DS20" i="8"/>
  <c r="DR20" i="8"/>
  <c r="DQ20" i="8"/>
  <c r="DP20" i="8"/>
  <c r="DO20" i="8"/>
  <c r="DN20" i="8"/>
  <c r="DM20" i="8"/>
  <c r="DL20" i="8"/>
  <c r="DK20" i="8"/>
  <c r="DJ20" i="8"/>
  <c r="DI20" i="8"/>
  <c r="DH20" i="8"/>
  <c r="DG20" i="8"/>
  <c r="DF20" i="8"/>
  <c r="DE20" i="8"/>
  <c r="DD20" i="8"/>
  <c r="DC20" i="8"/>
  <c r="DB20" i="8"/>
  <c r="DA20" i="8"/>
  <c r="CZ20" i="8"/>
  <c r="CY20" i="8"/>
  <c r="CX20" i="8"/>
  <c r="CW20" i="8"/>
  <c r="CV20" i="8"/>
  <c r="CU20" i="8"/>
  <c r="CT20" i="8"/>
  <c r="CS20" i="8"/>
  <c r="CR20" i="8"/>
  <c r="CQ20" i="8"/>
  <c r="CP20" i="8"/>
  <c r="CO20" i="8"/>
  <c r="CN20" i="8"/>
  <c r="CM20" i="8"/>
  <c r="CL20" i="8"/>
  <c r="CK20" i="8"/>
  <c r="CJ20" i="8"/>
  <c r="CI20" i="8"/>
  <c r="CH20" i="8"/>
  <c r="CG20" i="8"/>
  <c r="CF20" i="8"/>
  <c r="CE20" i="8"/>
  <c r="CD20" i="8"/>
  <c r="CC20" i="8"/>
  <c r="CB20" i="8"/>
  <c r="CA20" i="8"/>
  <c r="BZ20" i="8"/>
  <c r="BY20" i="8"/>
  <c r="BX20" i="8"/>
  <c r="BW20" i="8"/>
  <c r="BV20" i="8"/>
  <c r="BU20" i="8"/>
  <c r="BT20" i="8"/>
  <c r="BS20" i="8"/>
  <c r="BR20" i="8"/>
  <c r="BQ20" i="8"/>
  <c r="BP20" i="8"/>
  <c r="BO20" i="8"/>
  <c r="BM20" i="8"/>
  <c r="BL20" i="8"/>
  <c r="BK20" i="8"/>
  <c r="BJ20" i="8"/>
  <c r="BI20" i="8"/>
  <c r="BH20" i="8"/>
  <c r="BG20" i="8"/>
  <c r="BF20" i="8"/>
  <c r="BE20" i="8"/>
  <c r="BD20" i="8"/>
  <c r="BC20" i="8"/>
  <c r="BB20" i="8"/>
  <c r="BA20" i="8"/>
  <c r="AZ20" i="8"/>
  <c r="AY20" i="8"/>
  <c r="AX20" i="8"/>
  <c r="AW20" i="8"/>
  <c r="AV20" i="8"/>
  <c r="AU20" i="8"/>
  <c r="AT20" i="8"/>
  <c r="AS20" i="8"/>
  <c r="AR20" i="8"/>
  <c r="AQ20" i="8"/>
  <c r="AP20" i="8"/>
  <c r="AO20" i="8"/>
  <c r="AN20" i="8"/>
  <c r="AM20" i="8"/>
  <c r="AL20" i="8"/>
  <c r="AJ20" i="8"/>
  <c r="AI20" i="8"/>
  <c r="AH20" i="8"/>
  <c r="AG20" i="8"/>
  <c r="AF20" i="8"/>
  <c r="AE20" i="8"/>
  <c r="AD20" i="8"/>
  <c r="AC20" i="8"/>
  <c r="AB20" i="8"/>
  <c r="AA20" i="8"/>
  <c r="Z20" i="8"/>
  <c r="Y20" i="8"/>
  <c r="X20" i="8"/>
  <c r="W20" i="8"/>
  <c r="V20" i="8"/>
  <c r="U20" i="8"/>
  <c r="T20" i="8"/>
  <c r="S20" i="8"/>
  <c r="R20" i="8"/>
  <c r="Q20" i="8"/>
  <c r="P20" i="8"/>
  <c r="O20" i="8"/>
  <c r="N20" i="8"/>
  <c r="M20" i="8"/>
  <c r="L20" i="8"/>
  <c r="J20" i="8"/>
  <c r="F20" i="8"/>
  <c r="E20" i="8"/>
  <c r="ED19" i="8"/>
  <c r="EC19" i="8"/>
  <c r="EB19" i="8"/>
  <c r="EA19" i="8"/>
  <c r="DZ19" i="8"/>
  <c r="DY19" i="8"/>
  <c r="DX19" i="8"/>
  <c r="DW19" i="8"/>
  <c r="DV19" i="8"/>
  <c r="DU19" i="8"/>
  <c r="DT19" i="8"/>
  <c r="DS19" i="8"/>
  <c r="DR19" i="8"/>
  <c r="DQ19" i="8"/>
  <c r="DP19" i="8"/>
  <c r="DO19" i="8"/>
  <c r="DN19" i="8"/>
  <c r="DM19" i="8"/>
  <c r="DL19" i="8"/>
  <c r="DK19" i="8"/>
  <c r="DJ19" i="8"/>
  <c r="DI19" i="8"/>
  <c r="DH19" i="8"/>
  <c r="DG19" i="8"/>
  <c r="DF19" i="8"/>
  <c r="DE19" i="8"/>
  <c r="DD19" i="8"/>
  <c r="DC19" i="8"/>
  <c r="DB19" i="8"/>
  <c r="DA19" i="8"/>
  <c r="CZ19" i="8"/>
  <c r="CY19" i="8"/>
  <c r="CX19" i="8"/>
  <c r="CW19" i="8"/>
  <c r="CV19" i="8"/>
  <c r="CU19" i="8"/>
  <c r="CT19" i="8"/>
  <c r="CS19" i="8"/>
  <c r="CR19" i="8"/>
  <c r="CQ19" i="8"/>
  <c r="CP19" i="8"/>
  <c r="CO19" i="8"/>
  <c r="CN19" i="8"/>
  <c r="CM19" i="8"/>
  <c r="CL19" i="8"/>
  <c r="CK19" i="8"/>
  <c r="CJ19" i="8"/>
  <c r="CI19" i="8"/>
  <c r="CH19" i="8"/>
  <c r="CG19" i="8"/>
  <c r="CF19" i="8"/>
  <c r="CE19" i="8"/>
  <c r="CD19" i="8"/>
  <c r="CC19" i="8"/>
  <c r="CB19" i="8"/>
  <c r="CA19" i="8"/>
  <c r="BZ19" i="8"/>
  <c r="BY19" i="8"/>
  <c r="BX19" i="8"/>
  <c r="BW19" i="8"/>
  <c r="BV19" i="8"/>
  <c r="BU19" i="8"/>
  <c r="BT19" i="8"/>
  <c r="BS19" i="8"/>
  <c r="BR19" i="8"/>
  <c r="BQ19" i="8"/>
  <c r="BP19" i="8"/>
  <c r="BO19" i="8"/>
  <c r="BM19" i="8"/>
  <c r="BL19" i="8"/>
  <c r="BK19" i="8"/>
  <c r="BJ19" i="8"/>
  <c r="BI19" i="8"/>
  <c r="BH19" i="8"/>
  <c r="BG19" i="8"/>
  <c r="BF19" i="8"/>
  <c r="BE19" i="8"/>
  <c r="BD19" i="8"/>
  <c r="BC19" i="8"/>
  <c r="BB19" i="8"/>
  <c r="BA19" i="8"/>
  <c r="AZ19" i="8"/>
  <c r="AY19" i="8"/>
  <c r="AX19" i="8"/>
  <c r="AW19" i="8"/>
  <c r="AV19" i="8"/>
  <c r="AU19" i="8"/>
  <c r="AT19" i="8"/>
  <c r="AS19" i="8"/>
  <c r="AR19" i="8"/>
  <c r="AQ19" i="8"/>
  <c r="AP19" i="8"/>
  <c r="AO19" i="8"/>
  <c r="AN19" i="8"/>
  <c r="AM19" i="8"/>
  <c r="AL19" i="8"/>
  <c r="AJ19" i="8"/>
  <c r="AI19" i="8"/>
  <c r="AH19" i="8"/>
  <c r="AG19" i="8"/>
  <c r="AF19" i="8"/>
  <c r="AE19" i="8"/>
  <c r="AD19" i="8"/>
  <c r="AC19" i="8"/>
  <c r="AB19" i="8"/>
  <c r="AA19" i="8"/>
  <c r="Z19" i="8"/>
  <c r="Y19" i="8"/>
  <c r="X19" i="8"/>
  <c r="W19" i="8"/>
  <c r="V19" i="8"/>
  <c r="U19" i="8"/>
  <c r="T19" i="8"/>
  <c r="S19" i="8"/>
  <c r="R19" i="8"/>
  <c r="Q19" i="8"/>
  <c r="P19" i="8"/>
  <c r="O19" i="8"/>
  <c r="N19" i="8"/>
  <c r="M19" i="8"/>
  <c r="L19" i="8"/>
  <c r="J19" i="8"/>
  <c r="F19" i="8"/>
  <c r="E19" i="8"/>
  <c r="ED18" i="8"/>
  <c r="EC18" i="8"/>
  <c r="EB18" i="8"/>
  <c r="EA18" i="8"/>
  <c r="DZ18" i="8"/>
  <c r="DY18" i="8"/>
  <c r="DX18" i="8"/>
  <c r="DW18" i="8"/>
  <c r="DV18" i="8"/>
  <c r="DU18" i="8"/>
  <c r="DT18" i="8"/>
  <c r="DS18" i="8"/>
  <c r="DR18" i="8"/>
  <c r="DQ18" i="8"/>
  <c r="DP18" i="8"/>
  <c r="DO18" i="8"/>
  <c r="DN18" i="8"/>
  <c r="DM18" i="8"/>
  <c r="DL18" i="8"/>
  <c r="DK18" i="8"/>
  <c r="DJ18" i="8"/>
  <c r="DI18" i="8"/>
  <c r="DH18" i="8"/>
  <c r="DG18" i="8"/>
  <c r="DF18" i="8"/>
  <c r="DE18" i="8"/>
  <c r="DD18" i="8"/>
  <c r="DC18" i="8"/>
  <c r="DB18" i="8"/>
  <c r="DA18" i="8"/>
  <c r="CZ18" i="8"/>
  <c r="CY18" i="8"/>
  <c r="CX18" i="8"/>
  <c r="CW18" i="8"/>
  <c r="CV18" i="8"/>
  <c r="CU18" i="8"/>
  <c r="CT18" i="8"/>
  <c r="CS18" i="8"/>
  <c r="CR18" i="8"/>
  <c r="CQ18" i="8"/>
  <c r="CP18" i="8"/>
  <c r="CO18" i="8"/>
  <c r="CN18" i="8"/>
  <c r="CM18" i="8"/>
  <c r="CL18" i="8"/>
  <c r="CK18" i="8"/>
  <c r="CJ18" i="8"/>
  <c r="CI18" i="8"/>
  <c r="CH18" i="8"/>
  <c r="CG18" i="8"/>
  <c r="CF18" i="8"/>
  <c r="CE18" i="8"/>
  <c r="CD18" i="8"/>
  <c r="CC18" i="8"/>
  <c r="CB18" i="8"/>
  <c r="CA18" i="8"/>
  <c r="BZ18" i="8"/>
  <c r="BY18" i="8"/>
  <c r="BX18" i="8"/>
  <c r="BW18" i="8"/>
  <c r="BV18" i="8"/>
  <c r="BU18" i="8"/>
  <c r="BT18" i="8"/>
  <c r="BS18" i="8"/>
  <c r="BR18" i="8"/>
  <c r="BQ18" i="8"/>
  <c r="BP18" i="8"/>
  <c r="BO18" i="8"/>
  <c r="BM18" i="8"/>
  <c r="BL18" i="8"/>
  <c r="BK18" i="8"/>
  <c r="BJ18" i="8"/>
  <c r="BI18" i="8"/>
  <c r="BH18" i="8"/>
  <c r="BG18" i="8"/>
  <c r="BF18" i="8"/>
  <c r="BE18" i="8"/>
  <c r="BD18" i="8"/>
  <c r="BC18" i="8"/>
  <c r="BB18" i="8"/>
  <c r="BA18" i="8"/>
  <c r="AZ18" i="8"/>
  <c r="AY18" i="8"/>
  <c r="AX18" i="8"/>
  <c r="AW18" i="8"/>
  <c r="AV18" i="8"/>
  <c r="AU18" i="8"/>
  <c r="AT18" i="8"/>
  <c r="AS18" i="8"/>
  <c r="AR18" i="8"/>
  <c r="AQ18" i="8"/>
  <c r="AP18" i="8"/>
  <c r="AO18" i="8"/>
  <c r="AN18" i="8"/>
  <c r="AM18" i="8"/>
  <c r="AL18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J18" i="8"/>
  <c r="G18" i="8"/>
  <c r="F18" i="8"/>
  <c r="E18" i="8"/>
  <c r="ED17" i="8"/>
  <c r="EC17" i="8"/>
  <c r="EB17" i="8"/>
  <c r="EA17" i="8"/>
  <c r="DZ17" i="8"/>
  <c r="DY17" i="8"/>
  <c r="DX17" i="8"/>
  <c r="DW17" i="8"/>
  <c r="DV17" i="8"/>
  <c r="DU17" i="8"/>
  <c r="DT17" i="8"/>
  <c r="DS17" i="8"/>
  <c r="DR17" i="8"/>
  <c r="DQ17" i="8"/>
  <c r="DP17" i="8"/>
  <c r="DO17" i="8"/>
  <c r="DN17" i="8"/>
  <c r="DM17" i="8"/>
  <c r="DL17" i="8"/>
  <c r="DK17" i="8"/>
  <c r="DJ17" i="8"/>
  <c r="DI17" i="8"/>
  <c r="DH17" i="8"/>
  <c r="DG17" i="8"/>
  <c r="DF17" i="8"/>
  <c r="DE17" i="8"/>
  <c r="DD17" i="8"/>
  <c r="DC17" i="8"/>
  <c r="DB17" i="8"/>
  <c r="DA17" i="8"/>
  <c r="CZ17" i="8"/>
  <c r="CY17" i="8"/>
  <c r="CX17" i="8"/>
  <c r="CW17" i="8"/>
  <c r="CV17" i="8"/>
  <c r="CU17" i="8"/>
  <c r="CT17" i="8"/>
  <c r="CS17" i="8"/>
  <c r="CR17" i="8"/>
  <c r="CQ17" i="8"/>
  <c r="CP17" i="8"/>
  <c r="CO17" i="8"/>
  <c r="CN17" i="8"/>
  <c r="CM17" i="8"/>
  <c r="CL17" i="8"/>
  <c r="CK17" i="8"/>
  <c r="CJ17" i="8"/>
  <c r="CI17" i="8"/>
  <c r="CH17" i="8"/>
  <c r="CG17" i="8"/>
  <c r="CF17" i="8"/>
  <c r="CE17" i="8"/>
  <c r="CD17" i="8"/>
  <c r="CC17" i="8"/>
  <c r="CB17" i="8"/>
  <c r="CA17" i="8"/>
  <c r="BZ17" i="8"/>
  <c r="BY17" i="8"/>
  <c r="BX17" i="8"/>
  <c r="BW17" i="8"/>
  <c r="BV17" i="8"/>
  <c r="BU17" i="8"/>
  <c r="BT17" i="8"/>
  <c r="BS17" i="8"/>
  <c r="BR17" i="8"/>
  <c r="BQ17" i="8"/>
  <c r="BP17" i="8"/>
  <c r="BO17" i="8"/>
  <c r="BM17" i="8"/>
  <c r="BL17" i="8"/>
  <c r="BK17" i="8"/>
  <c r="BJ17" i="8"/>
  <c r="BI17" i="8"/>
  <c r="BH17" i="8"/>
  <c r="BG17" i="8"/>
  <c r="BF17" i="8"/>
  <c r="BE17" i="8"/>
  <c r="BD17" i="8"/>
  <c r="BC17" i="8"/>
  <c r="BB17" i="8"/>
  <c r="BA17" i="8"/>
  <c r="AZ17" i="8"/>
  <c r="AY17" i="8"/>
  <c r="AX17" i="8"/>
  <c r="AW17" i="8"/>
  <c r="AV17" i="8"/>
  <c r="AU17" i="8"/>
  <c r="AT17" i="8"/>
  <c r="AS17" i="8"/>
  <c r="AR17" i="8"/>
  <c r="AQ17" i="8"/>
  <c r="AP17" i="8"/>
  <c r="AO17" i="8"/>
  <c r="AN17" i="8"/>
  <c r="AM17" i="8"/>
  <c r="AL17" i="8"/>
  <c r="AJ17" i="8"/>
  <c r="AI17" i="8"/>
  <c r="AH17" i="8"/>
  <c r="AG17" i="8"/>
  <c r="AF17" i="8"/>
  <c r="AE17" i="8"/>
  <c r="AD17" i="8"/>
  <c r="AC17" i="8"/>
  <c r="AB17" i="8"/>
  <c r="AA17" i="8"/>
  <c r="Z17" i="8"/>
  <c r="Y17" i="8"/>
  <c r="X17" i="8"/>
  <c r="W17" i="8"/>
  <c r="V17" i="8"/>
  <c r="U17" i="8"/>
  <c r="T17" i="8"/>
  <c r="S17" i="8"/>
  <c r="R17" i="8"/>
  <c r="Q17" i="8"/>
  <c r="P17" i="8"/>
  <c r="O17" i="8"/>
  <c r="N17" i="8"/>
  <c r="M17" i="8"/>
  <c r="L17" i="8"/>
  <c r="J17" i="8"/>
  <c r="F17" i="8"/>
  <c r="E17" i="8"/>
  <c r="ED16" i="8"/>
  <c r="EC16" i="8"/>
  <c r="EB16" i="8"/>
  <c r="EA16" i="8"/>
  <c r="DZ16" i="8"/>
  <c r="DY16" i="8"/>
  <c r="DX16" i="8"/>
  <c r="DW16" i="8"/>
  <c r="DV16" i="8"/>
  <c r="DU16" i="8"/>
  <c r="DT16" i="8"/>
  <c r="DS16" i="8"/>
  <c r="DR16" i="8"/>
  <c r="DQ16" i="8"/>
  <c r="DP16" i="8"/>
  <c r="DO16" i="8"/>
  <c r="DN16" i="8"/>
  <c r="DM16" i="8"/>
  <c r="DL16" i="8"/>
  <c r="DK16" i="8"/>
  <c r="DJ16" i="8"/>
  <c r="DI16" i="8"/>
  <c r="DH16" i="8"/>
  <c r="DG16" i="8"/>
  <c r="DF16" i="8"/>
  <c r="DE16" i="8"/>
  <c r="DD16" i="8"/>
  <c r="DC16" i="8"/>
  <c r="DB16" i="8"/>
  <c r="DA16" i="8"/>
  <c r="CZ16" i="8"/>
  <c r="CY16" i="8"/>
  <c r="CX16" i="8"/>
  <c r="CW16" i="8"/>
  <c r="CV16" i="8"/>
  <c r="CU16" i="8"/>
  <c r="CT16" i="8"/>
  <c r="CS16" i="8"/>
  <c r="CR16" i="8"/>
  <c r="CQ16" i="8"/>
  <c r="CP16" i="8"/>
  <c r="CO16" i="8"/>
  <c r="CN16" i="8"/>
  <c r="CM16" i="8"/>
  <c r="CL16" i="8"/>
  <c r="CK16" i="8"/>
  <c r="CJ16" i="8"/>
  <c r="CI16" i="8"/>
  <c r="CH16" i="8"/>
  <c r="CG16" i="8"/>
  <c r="CF16" i="8"/>
  <c r="CE16" i="8"/>
  <c r="CD16" i="8"/>
  <c r="CC16" i="8"/>
  <c r="CB16" i="8"/>
  <c r="CA16" i="8"/>
  <c r="BZ16" i="8"/>
  <c r="BY16" i="8"/>
  <c r="BX16" i="8"/>
  <c r="BW16" i="8"/>
  <c r="BV16" i="8"/>
  <c r="BU16" i="8"/>
  <c r="BT16" i="8"/>
  <c r="BS16" i="8"/>
  <c r="BR16" i="8"/>
  <c r="BQ16" i="8"/>
  <c r="BP16" i="8"/>
  <c r="BO16" i="8"/>
  <c r="BM16" i="8"/>
  <c r="BL16" i="8"/>
  <c r="BK16" i="8"/>
  <c r="BJ16" i="8"/>
  <c r="BI16" i="8"/>
  <c r="BH16" i="8"/>
  <c r="BG16" i="8"/>
  <c r="BF16" i="8"/>
  <c r="BE16" i="8"/>
  <c r="BD16" i="8"/>
  <c r="BC16" i="8"/>
  <c r="BB16" i="8"/>
  <c r="BA16" i="8"/>
  <c r="AZ16" i="8"/>
  <c r="AY16" i="8"/>
  <c r="AX16" i="8"/>
  <c r="AW16" i="8"/>
  <c r="AV16" i="8"/>
  <c r="AU16" i="8"/>
  <c r="AT16" i="8"/>
  <c r="AS16" i="8"/>
  <c r="AR16" i="8"/>
  <c r="AQ16" i="8"/>
  <c r="AP16" i="8"/>
  <c r="AO16" i="8"/>
  <c r="AN16" i="8"/>
  <c r="AM16" i="8"/>
  <c r="AL16" i="8"/>
  <c r="AJ16" i="8"/>
  <c r="AI16" i="8"/>
  <c r="AH16" i="8"/>
  <c r="AG16" i="8"/>
  <c r="AF16" i="8"/>
  <c r="AE16" i="8"/>
  <c r="AD16" i="8"/>
  <c r="AC16" i="8"/>
  <c r="AB16" i="8"/>
  <c r="AA16" i="8"/>
  <c r="Z16" i="8"/>
  <c r="Y16" i="8"/>
  <c r="X16" i="8"/>
  <c r="W16" i="8"/>
  <c r="V16" i="8"/>
  <c r="U16" i="8"/>
  <c r="T16" i="8"/>
  <c r="S16" i="8"/>
  <c r="R16" i="8"/>
  <c r="Q16" i="8"/>
  <c r="P16" i="8"/>
  <c r="O16" i="8"/>
  <c r="N16" i="8"/>
  <c r="M16" i="8"/>
  <c r="L16" i="8"/>
  <c r="J16" i="8"/>
  <c r="F16" i="8"/>
  <c r="E16" i="8"/>
  <c r="ED15" i="8"/>
  <c r="EC15" i="8"/>
  <c r="EB15" i="8"/>
  <c r="EA15" i="8"/>
  <c r="DZ15" i="8"/>
  <c r="DY15" i="8"/>
  <c r="DX15" i="8"/>
  <c r="DW15" i="8"/>
  <c r="DV15" i="8"/>
  <c r="DU15" i="8"/>
  <c r="DT15" i="8"/>
  <c r="DS15" i="8"/>
  <c r="DR15" i="8"/>
  <c r="DQ15" i="8"/>
  <c r="DP15" i="8"/>
  <c r="DO15" i="8"/>
  <c r="DN15" i="8"/>
  <c r="DM15" i="8"/>
  <c r="DL15" i="8"/>
  <c r="DK15" i="8"/>
  <c r="DJ15" i="8"/>
  <c r="DI15" i="8"/>
  <c r="DH15" i="8"/>
  <c r="DG15" i="8"/>
  <c r="DF15" i="8"/>
  <c r="DE15" i="8"/>
  <c r="DD15" i="8"/>
  <c r="DC15" i="8"/>
  <c r="DB15" i="8"/>
  <c r="DA15" i="8"/>
  <c r="CZ15" i="8"/>
  <c r="CY15" i="8"/>
  <c r="CX15" i="8"/>
  <c r="CW15" i="8"/>
  <c r="CV15" i="8"/>
  <c r="CU15" i="8"/>
  <c r="CT15" i="8"/>
  <c r="CS15" i="8"/>
  <c r="CR15" i="8"/>
  <c r="CQ15" i="8"/>
  <c r="CP15" i="8"/>
  <c r="CO15" i="8"/>
  <c r="CN15" i="8"/>
  <c r="CM15" i="8"/>
  <c r="CL15" i="8"/>
  <c r="CK15" i="8"/>
  <c r="CJ15" i="8"/>
  <c r="CI15" i="8"/>
  <c r="CH15" i="8"/>
  <c r="CG15" i="8"/>
  <c r="CF15" i="8"/>
  <c r="CE15" i="8"/>
  <c r="CD15" i="8"/>
  <c r="CC15" i="8"/>
  <c r="CB15" i="8"/>
  <c r="CA15" i="8"/>
  <c r="BZ15" i="8"/>
  <c r="BY15" i="8"/>
  <c r="BX15" i="8"/>
  <c r="BW15" i="8"/>
  <c r="BV15" i="8"/>
  <c r="BU15" i="8"/>
  <c r="BT15" i="8"/>
  <c r="BS15" i="8"/>
  <c r="BR15" i="8"/>
  <c r="BQ15" i="8"/>
  <c r="BP15" i="8"/>
  <c r="BO15" i="8"/>
  <c r="BM15" i="8"/>
  <c r="BL15" i="8"/>
  <c r="BK15" i="8"/>
  <c r="BJ15" i="8"/>
  <c r="BI15" i="8"/>
  <c r="BH15" i="8"/>
  <c r="BG15" i="8"/>
  <c r="BF15" i="8"/>
  <c r="BE15" i="8"/>
  <c r="BD15" i="8"/>
  <c r="BC15" i="8"/>
  <c r="BB15" i="8"/>
  <c r="BA15" i="8"/>
  <c r="AZ15" i="8"/>
  <c r="AY15" i="8"/>
  <c r="AX15" i="8"/>
  <c r="AW15" i="8"/>
  <c r="AV15" i="8"/>
  <c r="AU15" i="8"/>
  <c r="AT15" i="8"/>
  <c r="AS15" i="8"/>
  <c r="AR15" i="8"/>
  <c r="AQ15" i="8"/>
  <c r="AP15" i="8"/>
  <c r="AO15" i="8"/>
  <c r="AN15" i="8"/>
  <c r="AM15" i="8"/>
  <c r="AL15" i="8"/>
  <c r="AJ15" i="8"/>
  <c r="AI15" i="8"/>
  <c r="AH15" i="8"/>
  <c r="AG15" i="8"/>
  <c r="AF15" i="8"/>
  <c r="AE15" i="8"/>
  <c r="AD15" i="8"/>
  <c r="AC15" i="8"/>
  <c r="AB15" i="8"/>
  <c r="AA15" i="8"/>
  <c r="Z15" i="8"/>
  <c r="Y15" i="8"/>
  <c r="X15" i="8"/>
  <c r="W15" i="8"/>
  <c r="V15" i="8"/>
  <c r="U15" i="8"/>
  <c r="T15" i="8"/>
  <c r="S15" i="8"/>
  <c r="R15" i="8"/>
  <c r="Q15" i="8"/>
  <c r="P15" i="8"/>
  <c r="O15" i="8"/>
  <c r="N15" i="8"/>
  <c r="M15" i="8"/>
  <c r="L15" i="8"/>
  <c r="J15" i="8"/>
  <c r="G15" i="8"/>
  <c r="F15" i="8"/>
  <c r="E15" i="8"/>
  <c r="ED14" i="8"/>
  <c r="EC14" i="8"/>
  <c r="EB14" i="8"/>
  <c r="EA14" i="8"/>
  <c r="DZ14" i="8"/>
  <c r="DY14" i="8"/>
  <c r="DX14" i="8"/>
  <c r="DW14" i="8"/>
  <c r="DV14" i="8"/>
  <c r="DU14" i="8"/>
  <c r="DT14" i="8"/>
  <c r="DS14" i="8"/>
  <c r="DR14" i="8"/>
  <c r="DQ14" i="8"/>
  <c r="DP14" i="8"/>
  <c r="DO14" i="8"/>
  <c r="DN14" i="8"/>
  <c r="DM14" i="8"/>
  <c r="DL14" i="8"/>
  <c r="DK14" i="8"/>
  <c r="DJ14" i="8"/>
  <c r="DI14" i="8"/>
  <c r="DH14" i="8"/>
  <c r="DG14" i="8"/>
  <c r="DF14" i="8"/>
  <c r="DE14" i="8"/>
  <c r="DD14" i="8"/>
  <c r="DC14" i="8"/>
  <c r="DB14" i="8"/>
  <c r="DA14" i="8"/>
  <c r="CZ14" i="8"/>
  <c r="CY14" i="8"/>
  <c r="CX14" i="8"/>
  <c r="CW14" i="8"/>
  <c r="CV14" i="8"/>
  <c r="CU14" i="8"/>
  <c r="CT14" i="8"/>
  <c r="CS14" i="8"/>
  <c r="CR14" i="8"/>
  <c r="CQ14" i="8"/>
  <c r="CP14" i="8"/>
  <c r="CO14" i="8"/>
  <c r="CN14" i="8"/>
  <c r="CM14" i="8"/>
  <c r="CL14" i="8"/>
  <c r="CK14" i="8"/>
  <c r="CJ14" i="8"/>
  <c r="CI14" i="8"/>
  <c r="CH14" i="8"/>
  <c r="CG14" i="8"/>
  <c r="CF14" i="8"/>
  <c r="CE14" i="8"/>
  <c r="CD14" i="8"/>
  <c r="CC14" i="8"/>
  <c r="CB14" i="8"/>
  <c r="CA14" i="8"/>
  <c r="BZ14" i="8"/>
  <c r="BY14" i="8"/>
  <c r="BX14" i="8"/>
  <c r="BW14" i="8"/>
  <c r="BV14" i="8"/>
  <c r="BU14" i="8"/>
  <c r="BT14" i="8"/>
  <c r="BS14" i="8"/>
  <c r="BR14" i="8"/>
  <c r="BQ14" i="8"/>
  <c r="BP14" i="8"/>
  <c r="BO14" i="8"/>
  <c r="BM14" i="8"/>
  <c r="BL14" i="8"/>
  <c r="BK14" i="8"/>
  <c r="BJ14" i="8"/>
  <c r="BI14" i="8"/>
  <c r="BH14" i="8"/>
  <c r="BG14" i="8"/>
  <c r="BF14" i="8"/>
  <c r="BE14" i="8"/>
  <c r="BD14" i="8"/>
  <c r="BC14" i="8"/>
  <c r="BB14" i="8"/>
  <c r="BA14" i="8"/>
  <c r="AZ14" i="8"/>
  <c r="AY14" i="8"/>
  <c r="AX14" i="8"/>
  <c r="AW14" i="8"/>
  <c r="AV14" i="8"/>
  <c r="AU14" i="8"/>
  <c r="AT14" i="8"/>
  <c r="AS14" i="8"/>
  <c r="AR14" i="8"/>
  <c r="AQ14" i="8"/>
  <c r="AP14" i="8"/>
  <c r="AO14" i="8"/>
  <c r="AN14" i="8"/>
  <c r="AM14" i="8"/>
  <c r="AL14" i="8"/>
  <c r="AJ14" i="8"/>
  <c r="AI14" i="8"/>
  <c r="AH14" i="8"/>
  <c r="AG14" i="8"/>
  <c r="AF14" i="8"/>
  <c r="AE14" i="8"/>
  <c r="AD14" i="8"/>
  <c r="AC14" i="8"/>
  <c r="AB14" i="8"/>
  <c r="AA14" i="8"/>
  <c r="Z14" i="8"/>
  <c r="Y14" i="8"/>
  <c r="X14" i="8"/>
  <c r="W14" i="8"/>
  <c r="V14" i="8"/>
  <c r="U14" i="8"/>
  <c r="T14" i="8"/>
  <c r="S14" i="8"/>
  <c r="R14" i="8"/>
  <c r="Q14" i="8"/>
  <c r="P14" i="8"/>
  <c r="O14" i="8"/>
  <c r="N14" i="8"/>
  <c r="M14" i="8"/>
  <c r="L14" i="8"/>
  <c r="J14" i="8"/>
  <c r="F14" i="8"/>
  <c r="E14" i="8"/>
  <c r="ED13" i="8"/>
  <c r="EC13" i="8"/>
  <c r="EB13" i="8"/>
  <c r="EA13" i="8"/>
  <c r="DZ13" i="8"/>
  <c r="DY13" i="8"/>
  <c r="DX13" i="8"/>
  <c r="DW13" i="8"/>
  <c r="DV13" i="8"/>
  <c r="DU13" i="8"/>
  <c r="DT13" i="8"/>
  <c r="DS13" i="8"/>
  <c r="DR13" i="8"/>
  <c r="DQ13" i="8"/>
  <c r="DP13" i="8"/>
  <c r="DO13" i="8"/>
  <c r="DN13" i="8"/>
  <c r="DM13" i="8"/>
  <c r="DL13" i="8"/>
  <c r="DK13" i="8"/>
  <c r="DJ13" i="8"/>
  <c r="DI13" i="8"/>
  <c r="DH13" i="8"/>
  <c r="DG13" i="8"/>
  <c r="DF13" i="8"/>
  <c r="DE13" i="8"/>
  <c r="DD13" i="8"/>
  <c r="DC13" i="8"/>
  <c r="DB13" i="8"/>
  <c r="DA13" i="8"/>
  <c r="CZ13" i="8"/>
  <c r="CY13" i="8"/>
  <c r="CX13" i="8"/>
  <c r="CW13" i="8"/>
  <c r="CV13" i="8"/>
  <c r="CU13" i="8"/>
  <c r="CT13" i="8"/>
  <c r="CS13" i="8"/>
  <c r="CR13" i="8"/>
  <c r="CQ13" i="8"/>
  <c r="CP13" i="8"/>
  <c r="CO13" i="8"/>
  <c r="CN13" i="8"/>
  <c r="CM13" i="8"/>
  <c r="CL13" i="8"/>
  <c r="CK13" i="8"/>
  <c r="CJ13" i="8"/>
  <c r="CI13" i="8"/>
  <c r="CH13" i="8"/>
  <c r="CG13" i="8"/>
  <c r="CF13" i="8"/>
  <c r="CE13" i="8"/>
  <c r="CD13" i="8"/>
  <c r="CC13" i="8"/>
  <c r="CB13" i="8"/>
  <c r="CA13" i="8"/>
  <c r="BZ13" i="8"/>
  <c r="BY13" i="8"/>
  <c r="BX13" i="8"/>
  <c r="BW13" i="8"/>
  <c r="BV13" i="8"/>
  <c r="BU13" i="8"/>
  <c r="BT13" i="8"/>
  <c r="BS13" i="8"/>
  <c r="BR13" i="8"/>
  <c r="BQ13" i="8"/>
  <c r="BP13" i="8"/>
  <c r="BO13" i="8"/>
  <c r="BM13" i="8"/>
  <c r="BL13" i="8"/>
  <c r="BK13" i="8"/>
  <c r="BJ13" i="8"/>
  <c r="BI13" i="8"/>
  <c r="BH13" i="8"/>
  <c r="BG13" i="8"/>
  <c r="BF13" i="8"/>
  <c r="BE13" i="8"/>
  <c r="BD13" i="8"/>
  <c r="BC13" i="8"/>
  <c r="BB13" i="8"/>
  <c r="BA13" i="8"/>
  <c r="AZ13" i="8"/>
  <c r="AY13" i="8"/>
  <c r="AX13" i="8"/>
  <c r="AW13" i="8"/>
  <c r="AV13" i="8"/>
  <c r="AU13" i="8"/>
  <c r="AT13" i="8"/>
  <c r="AS13" i="8"/>
  <c r="AR13" i="8"/>
  <c r="AQ13" i="8"/>
  <c r="AP13" i="8"/>
  <c r="AO13" i="8"/>
  <c r="AN13" i="8"/>
  <c r="AM13" i="8"/>
  <c r="AL13" i="8"/>
  <c r="AJ13" i="8"/>
  <c r="AI13" i="8"/>
  <c r="AH13" i="8"/>
  <c r="AG13" i="8"/>
  <c r="AF13" i="8"/>
  <c r="AE13" i="8"/>
  <c r="AD13" i="8"/>
  <c r="AC13" i="8"/>
  <c r="AB13" i="8"/>
  <c r="AA13" i="8"/>
  <c r="Z13" i="8"/>
  <c r="Y13" i="8"/>
  <c r="X13" i="8"/>
  <c r="W13" i="8"/>
  <c r="V13" i="8"/>
  <c r="U13" i="8"/>
  <c r="T13" i="8"/>
  <c r="S13" i="8"/>
  <c r="R13" i="8"/>
  <c r="Q13" i="8"/>
  <c r="P13" i="8"/>
  <c r="O13" i="8"/>
  <c r="N13" i="8"/>
  <c r="M13" i="8"/>
  <c r="L13" i="8"/>
  <c r="F13" i="8"/>
  <c r="E13" i="8"/>
  <c r="D13" i="8"/>
  <c r="C13" i="8"/>
  <c r="ED12" i="8"/>
  <c r="EC12" i="8"/>
  <c r="EB12" i="8"/>
  <c r="EA12" i="8"/>
  <c r="DZ12" i="8"/>
  <c r="DY12" i="8"/>
  <c r="DX12" i="8"/>
  <c r="DW12" i="8"/>
  <c r="DV12" i="8"/>
  <c r="DU12" i="8"/>
  <c r="DT12" i="8"/>
  <c r="DS12" i="8"/>
  <c r="DR12" i="8"/>
  <c r="DQ12" i="8"/>
  <c r="DP12" i="8"/>
  <c r="DO12" i="8"/>
  <c r="DN12" i="8"/>
  <c r="DM12" i="8"/>
  <c r="DL12" i="8"/>
  <c r="DK12" i="8"/>
  <c r="DJ12" i="8"/>
  <c r="DI12" i="8"/>
  <c r="DH12" i="8"/>
  <c r="DG12" i="8"/>
  <c r="DF12" i="8"/>
  <c r="DE12" i="8"/>
  <c r="DD12" i="8"/>
  <c r="DC12" i="8"/>
  <c r="DB12" i="8"/>
  <c r="DA12" i="8"/>
  <c r="CZ12" i="8"/>
  <c r="CY12" i="8"/>
  <c r="CX12" i="8"/>
  <c r="CW12" i="8"/>
  <c r="CV12" i="8"/>
  <c r="CU12" i="8"/>
  <c r="CT12" i="8"/>
  <c r="CS12" i="8"/>
  <c r="CR12" i="8"/>
  <c r="CQ12" i="8"/>
  <c r="CP12" i="8"/>
  <c r="CO12" i="8"/>
  <c r="CN12" i="8"/>
  <c r="CM12" i="8"/>
  <c r="CL12" i="8"/>
  <c r="CK12" i="8"/>
  <c r="CJ12" i="8"/>
  <c r="CI12" i="8"/>
  <c r="CH12" i="8"/>
  <c r="CG12" i="8"/>
  <c r="CF12" i="8"/>
  <c r="CE12" i="8"/>
  <c r="CD12" i="8"/>
  <c r="CC12" i="8"/>
  <c r="CB12" i="8"/>
  <c r="CA12" i="8"/>
  <c r="BZ12" i="8"/>
  <c r="BY12" i="8"/>
  <c r="BX12" i="8"/>
  <c r="BW12" i="8"/>
  <c r="BV12" i="8"/>
  <c r="BU12" i="8"/>
  <c r="BT12" i="8"/>
  <c r="BS12" i="8"/>
  <c r="BR12" i="8"/>
  <c r="BQ12" i="8"/>
  <c r="BP12" i="8"/>
  <c r="BO12" i="8"/>
  <c r="BM12" i="8"/>
  <c r="BL12" i="8"/>
  <c r="BK12" i="8"/>
  <c r="BJ12" i="8"/>
  <c r="BI12" i="8"/>
  <c r="BH12" i="8"/>
  <c r="BG12" i="8"/>
  <c r="BF12" i="8"/>
  <c r="BE12" i="8"/>
  <c r="BD12" i="8"/>
  <c r="BC12" i="8"/>
  <c r="BB12" i="8"/>
  <c r="BA12" i="8"/>
  <c r="AZ12" i="8"/>
  <c r="AY12" i="8"/>
  <c r="AX12" i="8"/>
  <c r="AW12" i="8"/>
  <c r="AV12" i="8"/>
  <c r="AU12" i="8"/>
  <c r="AT12" i="8"/>
  <c r="AS12" i="8"/>
  <c r="AR12" i="8"/>
  <c r="AQ12" i="8"/>
  <c r="AP12" i="8"/>
  <c r="AO12" i="8"/>
  <c r="AN12" i="8"/>
  <c r="AM12" i="8"/>
  <c r="AL12" i="8"/>
  <c r="AJ12" i="8"/>
  <c r="AI12" i="8"/>
  <c r="AH12" i="8"/>
  <c r="AG12" i="8"/>
  <c r="AF12" i="8"/>
  <c r="AE12" i="8"/>
  <c r="AD12" i="8"/>
  <c r="AC12" i="8"/>
  <c r="AB12" i="8"/>
  <c r="AA12" i="8"/>
  <c r="Z12" i="8"/>
  <c r="Y12" i="8"/>
  <c r="X12" i="8"/>
  <c r="W12" i="8"/>
  <c r="V12" i="8"/>
  <c r="U12" i="8"/>
  <c r="T12" i="8"/>
  <c r="S12" i="8"/>
  <c r="R12" i="8"/>
  <c r="Q12" i="8"/>
  <c r="P12" i="8"/>
  <c r="O12" i="8"/>
  <c r="N12" i="8"/>
  <c r="M12" i="8"/>
  <c r="L12" i="8"/>
  <c r="F12" i="8"/>
  <c r="E12" i="8"/>
  <c r="D12" i="8"/>
  <c r="C12" i="8"/>
  <c r="ED11" i="8"/>
  <c r="EC11" i="8"/>
  <c r="EB11" i="8"/>
  <c r="EA11" i="8"/>
  <c r="DZ11" i="8"/>
  <c r="DY11" i="8"/>
  <c r="DX11" i="8"/>
  <c r="DW11" i="8"/>
  <c r="DV11" i="8"/>
  <c r="DU11" i="8"/>
  <c r="DT11" i="8"/>
  <c r="DS11" i="8"/>
  <c r="DR11" i="8"/>
  <c r="DQ11" i="8"/>
  <c r="DP11" i="8"/>
  <c r="DO11" i="8"/>
  <c r="DN11" i="8"/>
  <c r="DM11" i="8"/>
  <c r="DL11" i="8"/>
  <c r="DK11" i="8"/>
  <c r="DJ11" i="8"/>
  <c r="DI11" i="8"/>
  <c r="DH11" i="8"/>
  <c r="DG11" i="8"/>
  <c r="DF11" i="8"/>
  <c r="DE11" i="8"/>
  <c r="DD11" i="8"/>
  <c r="DC11" i="8"/>
  <c r="DB11" i="8"/>
  <c r="DA11" i="8"/>
  <c r="CZ11" i="8"/>
  <c r="CY11" i="8"/>
  <c r="CX11" i="8"/>
  <c r="CW11" i="8"/>
  <c r="CV11" i="8"/>
  <c r="CU11" i="8"/>
  <c r="CT11" i="8"/>
  <c r="CS11" i="8"/>
  <c r="CR11" i="8"/>
  <c r="CQ11" i="8"/>
  <c r="CP11" i="8"/>
  <c r="CO11" i="8"/>
  <c r="CN11" i="8"/>
  <c r="CM11" i="8"/>
  <c r="CL11" i="8"/>
  <c r="CK11" i="8"/>
  <c r="CJ11" i="8"/>
  <c r="CI11" i="8"/>
  <c r="CH11" i="8"/>
  <c r="CG11" i="8"/>
  <c r="CF11" i="8"/>
  <c r="CE11" i="8"/>
  <c r="CD11" i="8"/>
  <c r="CC11" i="8"/>
  <c r="CB11" i="8"/>
  <c r="CA11" i="8"/>
  <c r="BZ11" i="8"/>
  <c r="BY11" i="8"/>
  <c r="BX11" i="8"/>
  <c r="BW11" i="8"/>
  <c r="BV11" i="8"/>
  <c r="BU11" i="8"/>
  <c r="BT11" i="8"/>
  <c r="BS11" i="8"/>
  <c r="BR11" i="8"/>
  <c r="BQ11" i="8"/>
  <c r="BP11" i="8"/>
  <c r="BO11" i="8"/>
  <c r="BM11" i="8"/>
  <c r="BL11" i="8"/>
  <c r="BK11" i="8"/>
  <c r="BJ11" i="8"/>
  <c r="BI11" i="8"/>
  <c r="BH11" i="8"/>
  <c r="BG11" i="8"/>
  <c r="BF11" i="8"/>
  <c r="BE11" i="8"/>
  <c r="BD11" i="8"/>
  <c r="BC11" i="8"/>
  <c r="BB11" i="8"/>
  <c r="BA11" i="8"/>
  <c r="AZ11" i="8"/>
  <c r="AY11" i="8"/>
  <c r="AX11" i="8"/>
  <c r="AW11" i="8"/>
  <c r="AV11" i="8"/>
  <c r="AU11" i="8"/>
  <c r="AT11" i="8"/>
  <c r="AS11" i="8"/>
  <c r="AR11" i="8"/>
  <c r="AQ11" i="8"/>
  <c r="AP11" i="8"/>
  <c r="AO11" i="8"/>
  <c r="AN11" i="8"/>
  <c r="AM11" i="8"/>
  <c r="AL11" i="8"/>
  <c r="AJ11" i="8"/>
  <c r="AI11" i="8"/>
  <c r="AH11" i="8"/>
  <c r="AG11" i="8"/>
  <c r="AF11" i="8"/>
  <c r="AE11" i="8"/>
  <c r="AD11" i="8"/>
  <c r="AC11" i="8"/>
  <c r="AB11" i="8"/>
  <c r="AA11" i="8"/>
  <c r="Z11" i="8"/>
  <c r="Y11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J11" i="8"/>
  <c r="G11" i="8"/>
  <c r="F11" i="8"/>
  <c r="E11" i="8"/>
  <c r="D11" i="8"/>
  <c r="C11" i="8"/>
  <c r="ED10" i="8"/>
  <c r="EC10" i="8"/>
  <c r="EB10" i="8"/>
  <c r="EA10" i="8"/>
  <c r="DZ10" i="8"/>
  <c r="DY10" i="8"/>
  <c r="DX10" i="8"/>
  <c r="DW10" i="8"/>
  <c r="DV10" i="8"/>
  <c r="DU10" i="8"/>
  <c r="DT10" i="8"/>
  <c r="DS10" i="8"/>
  <c r="DR10" i="8"/>
  <c r="DQ10" i="8"/>
  <c r="DP10" i="8"/>
  <c r="DO10" i="8"/>
  <c r="DN10" i="8"/>
  <c r="DM10" i="8"/>
  <c r="DL10" i="8"/>
  <c r="DK10" i="8"/>
  <c r="DJ10" i="8"/>
  <c r="DI10" i="8"/>
  <c r="DH10" i="8"/>
  <c r="DG10" i="8"/>
  <c r="DF10" i="8"/>
  <c r="DE10" i="8"/>
  <c r="DD10" i="8"/>
  <c r="DC10" i="8"/>
  <c r="DB10" i="8"/>
  <c r="DA10" i="8"/>
  <c r="CZ10" i="8"/>
  <c r="CY10" i="8"/>
  <c r="CX10" i="8"/>
  <c r="CW10" i="8"/>
  <c r="CV10" i="8"/>
  <c r="CU10" i="8"/>
  <c r="CT10" i="8"/>
  <c r="CS10" i="8"/>
  <c r="CR10" i="8"/>
  <c r="CQ10" i="8"/>
  <c r="CP10" i="8"/>
  <c r="CO10" i="8"/>
  <c r="CN10" i="8"/>
  <c r="CM10" i="8"/>
  <c r="CL10" i="8"/>
  <c r="CK10" i="8"/>
  <c r="CJ10" i="8"/>
  <c r="CI10" i="8"/>
  <c r="CH10" i="8"/>
  <c r="CG10" i="8"/>
  <c r="CF10" i="8"/>
  <c r="CE10" i="8"/>
  <c r="CD10" i="8"/>
  <c r="CC10" i="8"/>
  <c r="CB10" i="8"/>
  <c r="CA10" i="8"/>
  <c r="BZ10" i="8"/>
  <c r="BY10" i="8"/>
  <c r="BX10" i="8"/>
  <c r="BW10" i="8"/>
  <c r="BV10" i="8"/>
  <c r="BU10" i="8"/>
  <c r="BT10" i="8"/>
  <c r="BS10" i="8"/>
  <c r="BR10" i="8"/>
  <c r="BQ10" i="8"/>
  <c r="BP10" i="8"/>
  <c r="BO10" i="8"/>
  <c r="BM10" i="8"/>
  <c r="BL10" i="8"/>
  <c r="BK10" i="8"/>
  <c r="BJ10" i="8"/>
  <c r="BI10" i="8"/>
  <c r="BH10" i="8"/>
  <c r="BG10" i="8"/>
  <c r="BF10" i="8"/>
  <c r="BE10" i="8"/>
  <c r="BD10" i="8"/>
  <c r="BC10" i="8"/>
  <c r="BB10" i="8"/>
  <c r="BA10" i="8"/>
  <c r="AZ10" i="8"/>
  <c r="AY10" i="8"/>
  <c r="AX10" i="8"/>
  <c r="AW10" i="8"/>
  <c r="AV10" i="8"/>
  <c r="AU10" i="8"/>
  <c r="AT10" i="8"/>
  <c r="AS10" i="8"/>
  <c r="AR10" i="8"/>
  <c r="AQ10" i="8"/>
  <c r="AP10" i="8"/>
  <c r="AO10" i="8"/>
  <c r="AN10" i="8"/>
  <c r="AM10" i="8"/>
  <c r="AL10" i="8"/>
  <c r="AJ10" i="8"/>
  <c r="AI10" i="8"/>
  <c r="AH10" i="8"/>
  <c r="AG10" i="8"/>
  <c r="AF10" i="8"/>
  <c r="AE10" i="8"/>
  <c r="AD10" i="8"/>
  <c r="AC10" i="8"/>
  <c r="AB10" i="8"/>
  <c r="AA10" i="8"/>
  <c r="Z10" i="8"/>
  <c r="Y10" i="8"/>
  <c r="X10" i="8"/>
  <c r="W10" i="8"/>
  <c r="V10" i="8"/>
  <c r="U10" i="8"/>
  <c r="T10" i="8"/>
  <c r="S10" i="8"/>
  <c r="R10" i="8"/>
  <c r="Q10" i="8"/>
  <c r="P10" i="8"/>
  <c r="O10" i="8"/>
  <c r="N10" i="8"/>
  <c r="M10" i="8"/>
  <c r="L10" i="8"/>
  <c r="F10" i="8"/>
  <c r="E10" i="8"/>
  <c r="D10" i="8"/>
  <c r="C10" i="8"/>
  <c r="ED9" i="8"/>
  <c r="EC9" i="8"/>
  <c r="EB9" i="8"/>
  <c r="EA9" i="8"/>
  <c r="DZ9" i="8"/>
  <c r="DY9" i="8"/>
  <c r="DX9" i="8"/>
  <c r="DW9" i="8"/>
  <c r="DV9" i="8"/>
  <c r="DU9" i="8"/>
  <c r="DT9" i="8"/>
  <c r="DS9" i="8"/>
  <c r="DR9" i="8"/>
  <c r="DQ9" i="8"/>
  <c r="DP9" i="8"/>
  <c r="DO9" i="8"/>
  <c r="DN9" i="8"/>
  <c r="DM9" i="8"/>
  <c r="DL9" i="8"/>
  <c r="DK9" i="8"/>
  <c r="DJ9" i="8"/>
  <c r="DI9" i="8"/>
  <c r="DH9" i="8"/>
  <c r="DG9" i="8"/>
  <c r="DF9" i="8"/>
  <c r="DE9" i="8"/>
  <c r="DD9" i="8"/>
  <c r="DC9" i="8"/>
  <c r="DB9" i="8"/>
  <c r="DA9" i="8"/>
  <c r="CZ9" i="8"/>
  <c r="CY9" i="8"/>
  <c r="CX9" i="8"/>
  <c r="CW9" i="8"/>
  <c r="CV9" i="8"/>
  <c r="CU9" i="8"/>
  <c r="CT9" i="8"/>
  <c r="CS9" i="8"/>
  <c r="CR9" i="8"/>
  <c r="CQ9" i="8"/>
  <c r="CP9" i="8"/>
  <c r="CO9" i="8"/>
  <c r="CN9" i="8"/>
  <c r="CM9" i="8"/>
  <c r="CL9" i="8"/>
  <c r="CK9" i="8"/>
  <c r="CJ9" i="8"/>
  <c r="CI9" i="8"/>
  <c r="CH9" i="8"/>
  <c r="CG9" i="8"/>
  <c r="CF9" i="8"/>
  <c r="CE9" i="8"/>
  <c r="CD9" i="8"/>
  <c r="CC9" i="8"/>
  <c r="CB9" i="8"/>
  <c r="CA9" i="8"/>
  <c r="BZ9" i="8"/>
  <c r="BY9" i="8"/>
  <c r="BX9" i="8"/>
  <c r="BW9" i="8"/>
  <c r="BV9" i="8"/>
  <c r="BU9" i="8"/>
  <c r="BT9" i="8"/>
  <c r="BS9" i="8"/>
  <c r="BR9" i="8"/>
  <c r="BQ9" i="8"/>
  <c r="BP9" i="8"/>
  <c r="BO9" i="8"/>
  <c r="BM9" i="8"/>
  <c r="BL9" i="8"/>
  <c r="BK9" i="8"/>
  <c r="BJ9" i="8"/>
  <c r="BI9" i="8"/>
  <c r="BH9" i="8"/>
  <c r="BG9" i="8"/>
  <c r="BF9" i="8"/>
  <c r="BE9" i="8"/>
  <c r="BD9" i="8"/>
  <c r="BC9" i="8"/>
  <c r="BB9" i="8"/>
  <c r="BA9" i="8"/>
  <c r="AZ9" i="8"/>
  <c r="AY9" i="8"/>
  <c r="AX9" i="8"/>
  <c r="AW9" i="8"/>
  <c r="AV9" i="8"/>
  <c r="AU9" i="8"/>
  <c r="AT9" i="8"/>
  <c r="AS9" i="8"/>
  <c r="AR9" i="8"/>
  <c r="AQ9" i="8"/>
  <c r="AP9" i="8"/>
  <c r="AO9" i="8"/>
  <c r="AN9" i="8"/>
  <c r="AM9" i="8"/>
  <c r="AL9" i="8"/>
  <c r="AJ9" i="8"/>
  <c r="AI9" i="8"/>
  <c r="AH9" i="8"/>
  <c r="AG9" i="8"/>
  <c r="AF9" i="8"/>
  <c r="AE9" i="8"/>
  <c r="AD9" i="8"/>
  <c r="AC9" i="8"/>
  <c r="AB9" i="8"/>
  <c r="AA9" i="8"/>
  <c r="Z9" i="8"/>
  <c r="Y9" i="8"/>
  <c r="X9" i="8"/>
  <c r="W9" i="8"/>
  <c r="V9" i="8"/>
  <c r="U9" i="8"/>
  <c r="T9" i="8"/>
  <c r="S9" i="8"/>
  <c r="R9" i="8"/>
  <c r="Q9" i="8"/>
  <c r="P9" i="8"/>
  <c r="O9" i="8"/>
  <c r="N9" i="8"/>
  <c r="M9" i="8"/>
  <c r="L9" i="8"/>
  <c r="J9" i="8"/>
  <c r="F9" i="8"/>
  <c r="E9" i="8"/>
  <c r="D9" i="8"/>
  <c r="C9" i="8"/>
  <c r="ED8" i="8"/>
  <c r="EC8" i="8"/>
  <c r="EB8" i="8"/>
  <c r="EA8" i="8"/>
  <c r="DZ8" i="8"/>
  <c r="DY8" i="8"/>
  <c r="DX8" i="8"/>
  <c r="DW8" i="8"/>
  <c r="DV8" i="8"/>
  <c r="DU8" i="8"/>
  <c r="DT8" i="8"/>
  <c r="DS8" i="8"/>
  <c r="DR8" i="8"/>
  <c r="DQ8" i="8"/>
  <c r="DP8" i="8"/>
  <c r="DO8" i="8"/>
  <c r="DN8" i="8"/>
  <c r="DM8" i="8"/>
  <c r="DL8" i="8"/>
  <c r="DK8" i="8"/>
  <c r="DJ8" i="8"/>
  <c r="DI8" i="8"/>
  <c r="DH8" i="8"/>
  <c r="DG8" i="8"/>
  <c r="DF8" i="8"/>
  <c r="DE8" i="8"/>
  <c r="DD8" i="8"/>
  <c r="DC8" i="8"/>
  <c r="DB8" i="8"/>
  <c r="DA8" i="8"/>
  <c r="CZ8" i="8"/>
  <c r="CY8" i="8"/>
  <c r="CX8" i="8"/>
  <c r="CW8" i="8"/>
  <c r="CV8" i="8"/>
  <c r="CU8" i="8"/>
  <c r="CT8" i="8"/>
  <c r="CS8" i="8"/>
  <c r="CR8" i="8"/>
  <c r="CQ8" i="8"/>
  <c r="CP8" i="8"/>
  <c r="CO8" i="8"/>
  <c r="CN8" i="8"/>
  <c r="CM8" i="8"/>
  <c r="CL8" i="8"/>
  <c r="CK8" i="8"/>
  <c r="CJ8" i="8"/>
  <c r="CI8" i="8"/>
  <c r="CH8" i="8"/>
  <c r="CG8" i="8"/>
  <c r="CF8" i="8"/>
  <c r="CE8" i="8"/>
  <c r="CD8" i="8"/>
  <c r="CC8" i="8"/>
  <c r="CB8" i="8"/>
  <c r="CA8" i="8"/>
  <c r="BZ8" i="8"/>
  <c r="BY8" i="8"/>
  <c r="BX8" i="8"/>
  <c r="BW8" i="8"/>
  <c r="BV8" i="8"/>
  <c r="BU8" i="8"/>
  <c r="BT8" i="8"/>
  <c r="BS8" i="8"/>
  <c r="BR8" i="8"/>
  <c r="BQ8" i="8"/>
  <c r="BP8" i="8"/>
  <c r="BO8" i="8"/>
  <c r="BM8" i="8"/>
  <c r="BL8" i="8"/>
  <c r="BK8" i="8"/>
  <c r="BJ8" i="8"/>
  <c r="BI8" i="8"/>
  <c r="BH8" i="8"/>
  <c r="BG8" i="8"/>
  <c r="BF8" i="8"/>
  <c r="BE8" i="8"/>
  <c r="BD8" i="8"/>
  <c r="BC8" i="8"/>
  <c r="BB8" i="8"/>
  <c r="BA8" i="8"/>
  <c r="AZ8" i="8"/>
  <c r="AY8" i="8"/>
  <c r="AX8" i="8"/>
  <c r="AW8" i="8"/>
  <c r="AV8" i="8"/>
  <c r="AU8" i="8"/>
  <c r="AT8" i="8"/>
  <c r="AS8" i="8"/>
  <c r="AR8" i="8"/>
  <c r="AQ8" i="8"/>
  <c r="AP8" i="8"/>
  <c r="AO8" i="8"/>
  <c r="AN8" i="8"/>
  <c r="AM8" i="8"/>
  <c r="AL8" i="8"/>
  <c r="AJ8" i="8"/>
  <c r="AI8" i="8"/>
  <c r="AH8" i="8"/>
  <c r="AG8" i="8"/>
  <c r="AF8" i="8"/>
  <c r="AE8" i="8"/>
  <c r="AD8" i="8"/>
  <c r="AC8" i="8"/>
  <c r="AB8" i="8"/>
  <c r="AA8" i="8"/>
  <c r="Z8" i="8"/>
  <c r="Y8" i="8"/>
  <c r="X8" i="8"/>
  <c r="W8" i="8"/>
  <c r="V8" i="8"/>
  <c r="U8" i="8"/>
  <c r="T8" i="8"/>
  <c r="S8" i="8"/>
  <c r="R8" i="8"/>
  <c r="Q8" i="8"/>
  <c r="P8" i="8"/>
  <c r="O8" i="8"/>
  <c r="N8" i="8"/>
  <c r="M8" i="8"/>
  <c r="L8" i="8"/>
  <c r="E8" i="8"/>
  <c r="ED7" i="8"/>
  <c r="EC7" i="8"/>
  <c r="EB7" i="8"/>
  <c r="EA7" i="8"/>
  <c r="DZ7" i="8"/>
  <c r="DY7" i="8"/>
  <c r="DX7" i="8"/>
  <c r="DW7" i="8"/>
  <c r="DV7" i="8"/>
  <c r="DU7" i="8"/>
  <c r="DT7" i="8"/>
  <c r="DS7" i="8"/>
  <c r="DR7" i="8"/>
  <c r="DQ7" i="8"/>
  <c r="DP7" i="8"/>
  <c r="DO7" i="8"/>
  <c r="DN7" i="8"/>
  <c r="DM7" i="8"/>
  <c r="DL7" i="8"/>
  <c r="DK7" i="8"/>
  <c r="DJ7" i="8"/>
  <c r="DI7" i="8"/>
  <c r="DH7" i="8"/>
  <c r="DG7" i="8"/>
  <c r="DF7" i="8"/>
  <c r="DE7" i="8"/>
  <c r="DD7" i="8"/>
  <c r="DC7" i="8"/>
  <c r="DB7" i="8"/>
  <c r="DA7" i="8"/>
  <c r="CZ7" i="8"/>
  <c r="CY7" i="8"/>
  <c r="CX7" i="8"/>
  <c r="CW7" i="8"/>
  <c r="CV7" i="8"/>
  <c r="CU7" i="8"/>
  <c r="CT7" i="8"/>
  <c r="CS7" i="8"/>
  <c r="CR7" i="8"/>
  <c r="CQ7" i="8"/>
  <c r="CP7" i="8"/>
  <c r="CO7" i="8"/>
  <c r="CN7" i="8"/>
  <c r="CM7" i="8"/>
  <c r="CL7" i="8"/>
  <c r="CK7" i="8"/>
  <c r="CJ7" i="8"/>
  <c r="CI7" i="8"/>
  <c r="CH7" i="8"/>
  <c r="CG7" i="8"/>
  <c r="CF7" i="8"/>
  <c r="CE7" i="8"/>
  <c r="CD7" i="8"/>
  <c r="CC7" i="8"/>
  <c r="CB7" i="8"/>
  <c r="CA7" i="8"/>
  <c r="BZ7" i="8"/>
  <c r="BY7" i="8"/>
  <c r="BX7" i="8"/>
  <c r="BW7" i="8"/>
  <c r="BV7" i="8"/>
  <c r="BU7" i="8"/>
  <c r="BT7" i="8"/>
  <c r="BS7" i="8"/>
  <c r="BR7" i="8"/>
  <c r="BQ7" i="8"/>
  <c r="BP7" i="8"/>
  <c r="BO7" i="8"/>
  <c r="BM7" i="8"/>
  <c r="BL7" i="8"/>
  <c r="BK7" i="8"/>
  <c r="BJ7" i="8"/>
  <c r="BI7" i="8"/>
  <c r="BH7" i="8"/>
  <c r="BG7" i="8"/>
  <c r="BF7" i="8"/>
  <c r="BE7" i="8"/>
  <c r="BD7" i="8"/>
  <c r="BC7" i="8"/>
  <c r="BB7" i="8"/>
  <c r="BA7" i="8"/>
  <c r="AZ7" i="8"/>
  <c r="AY7" i="8"/>
  <c r="AX7" i="8"/>
  <c r="AW7" i="8"/>
  <c r="AV7" i="8"/>
  <c r="AU7" i="8"/>
  <c r="AT7" i="8"/>
  <c r="AS7" i="8"/>
  <c r="AR7" i="8"/>
  <c r="AQ7" i="8"/>
  <c r="AP7" i="8"/>
  <c r="AO7" i="8"/>
  <c r="AN7" i="8"/>
  <c r="AM7" i="8"/>
  <c r="AL7" i="8"/>
  <c r="AJ7" i="8"/>
  <c r="AI7" i="8"/>
  <c r="AH7" i="8"/>
  <c r="AG7" i="8"/>
  <c r="AF7" i="8"/>
  <c r="AE7" i="8"/>
  <c r="AD7" i="8"/>
  <c r="AC7" i="8"/>
  <c r="AB7" i="8"/>
  <c r="AA7" i="8"/>
  <c r="Z7" i="8"/>
  <c r="Y7" i="8"/>
  <c r="X7" i="8"/>
  <c r="W7" i="8"/>
  <c r="V7" i="8"/>
  <c r="U7" i="8"/>
  <c r="T7" i="8"/>
  <c r="S7" i="8"/>
  <c r="R7" i="8"/>
  <c r="Q7" i="8"/>
  <c r="P7" i="8"/>
  <c r="O7" i="8"/>
  <c r="N7" i="8"/>
  <c r="L7" i="8"/>
  <c r="E7" i="8"/>
  <c r="L6" i="8"/>
  <c r="E6" i="8"/>
  <c r="L5" i="8"/>
  <c r="K5" i="8"/>
  <c r="J5" i="8"/>
  <c r="F5" i="8"/>
  <c r="E5" i="8"/>
  <c r="E165" i="7"/>
  <c r="E164" i="7"/>
  <c r="E163" i="7"/>
  <c r="E162" i="7"/>
  <c r="E161" i="7"/>
  <c r="E160" i="7"/>
  <c r="E159" i="7"/>
  <c r="E158" i="7"/>
  <c r="E157" i="7"/>
  <c r="E156" i="7"/>
  <c r="E155" i="7"/>
  <c r="E154" i="7"/>
  <c r="E153" i="7"/>
  <c r="E152" i="7"/>
  <c r="E151" i="7"/>
  <c r="E150" i="7"/>
  <c r="E149" i="7"/>
  <c r="E148" i="7"/>
  <c r="E147" i="7"/>
  <c r="E146" i="7"/>
  <c r="E145" i="7"/>
  <c r="E144" i="7"/>
  <c r="E143" i="7"/>
  <c r="E142" i="7"/>
  <c r="E137" i="7"/>
  <c r="E136" i="7"/>
  <c r="E135" i="7"/>
  <c r="E134" i="7"/>
  <c r="E133" i="7"/>
  <c r="E132" i="7"/>
  <c r="E131" i="7"/>
  <c r="E130" i="7"/>
  <c r="E129" i="7"/>
  <c r="E128" i="7"/>
  <c r="E127" i="7"/>
  <c r="E126" i="7"/>
  <c r="E125" i="7"/>
  <c r="E124" i="7"/>
  <c r="E123" i="7"/>
  <c r="E122" i="7"/>
  <c r="E121" i="7"/>
  <c r="E120" i="7"/>
  <c r="E119" i="7"/>
  <c r="E118" i="7"/>
  <c r="E117" i="7"/>
  <c r="E116" i="7"/>
  <c r="E115" i="7"/>
  <c r="E114" i="7"/>
  <c r="E109" i="7"/>
  <c r="E108" i="7"/>
  <c r="E107" i="7"/>
  <c r="E106" i="7"/>
  <c r="E105" i="7"/>
  <c r="E104" i="7"/>
  <c r="E103" i="7"/>
  <c r="E102" i="7"/>
  <c r="E101" i="7"/>
  <c r="E100" i="7"/>
  <c r="E99" i="7"/>
  <c r="E98" i="7"/>
  <c r="E97" i="7"/>
  <c r="E96" i="7"/>
  <c r="E95" i="7"/>
  <c r="E94" i="7"/>
  <c r="E93" i="7"/>
  <c r="E92" i="7"/>
  <c r="E91" i="7"/>
  <c r="E90" i="7"/>
  <c r="E89" i="7"/>
  <c r="E88" i="7"/>
  <c r="E87" i="7"/>
  <c r="E86" i="7"/>
  <c r="D79" i="7"/>
  <c r="C79" i="7"/>
  <c r="E78" i="7"/>
  <c r="D78" i="7"/>
  <c r="C78" i="7"/>
  <c r="E77" i="7"/>
  <c r="D77" i="7"/>
  <c r="C77" i="7"/>
  <c r="E76" i="7"/>
  <c r="D76" i="7"/>
  <c r="C76" i="7"/>
  <c r="E75" i="7"/>
  <c r="D75" i="7"/>
  <c r="C75" i="7"/>
  <c r="E74" i="7"/>
  <c r="D74" i="7"/>
  <c r="C74" i="7"/>
  <c r="D71" i="7"/>
  <c r="C71" i="7"/>
  <c r="D70" i="7"/>
  <c r="C70" i="7"/>
  <c r="D69" i="7"/>
  <c r="C69" i="7"/>
  <c r="D68" i="7"/>
  <c r="C68" i="7"/>
  <c r="D67" i="7"/>
  <c r="C67" i="7"/>
  <c r="G66" i="7"/>
  <c r="F66" i="7"/>
  <c r="D66" i="7"/>
  <c r="C66" i="7"/>
  <c r="F65" i="7"/>
  <c r="E65" i="7"/>
  <c r="F64" i="7"/>
  <c r="E64" i="7"/>
  <c r="F63" i="7"/>
  <c r="E63" i="7"/>
  <c r="F62" i="7"/>
  <c r="E62" i="7"/>
  <c r="F61" i="7"/>
  <c r="E61" i="7"/>
  <c r="D57" i="7"/>
  <c r="E56" i="7"/>
  <c r="D56" i="7"/>
  <c r="C56" i="7"/>
  <c r="E55" i="7"/>
  <c r="E54" i="7"/>
  <c r="E51" i="7"/>
  <c r="E50" i="7"/>
  <c r="E49" i="7"/>
  <c r="E48" i="7"/>
  <c r="E47" i="7"/>
  <c r="E46" i="7"/>
  <c r="E45" i="7"/>
  <c r="E44" i="7"/>
  <c r="E43" i="7"/>
  <c r="D43" i="7"/>
  <c r="C43" i="7"/>
  <c r="E42" i="7"/>
  <c r="E41" i="7"/>
  <c r="E40" i="7"/>
  <c r="E39" i="7"/>
  <c r="E38" i="7"/>
  <c r="E37" i="7"/>
  <c r="E36" i="7"/>
  <c r="E35" i="7"/>
  <c r="ED34" i="7"/>
  <c r="EC34" i="7"/>
  <c r="EB34" i="7"/>
  <c r="EA34" i="7"/>
  <c r="DZ34" i="7"/>
  <c r="DY34" i="7"/>
  <c r="DX34" i="7"/>
  <c r="DW34" i="7"/>
  <c r="DV34" i="7"/>
  <c r="DU34" i="7"/>
  <c r="DT34" i="7"/>
  <c r="DS34" i="7"/>
  <c r="DR34" i="7"/>
  <c r="DQ34" i="7"/>
  <c r="DP34" i="7"/>
  <c r="DO34" i="7"/>
  <c r="DN34" i="7"/>
  <c r="DM34" i="7"/>
  <c r="DL34" i="7"/>
  <c r="DK34" i="7"/>
  <c r="DJ34" i="7"/>
  <c r="DI34" i="7"/>
  <c r="DH34" i="7"/>
  <c r="DG34" i="7"/>
  <c r="DF34" i="7"/>
  <c r="DE34" i="7"/>
  <c r="DD34" i="7"/>
  <c r="DC34" i="7"/>
  <c r="DB34" i="7"/>
  <c r="DA34" i="7"/>
  <c r="CZ34" i="7"/>
  <c r="CY34" i="7"/>
  <c r="CX34" i="7"/>
  <c r="CW34" i="7"/>
  <c r="CV34" i="7"/>
  <c r="CU34" i="7"/>
  <c r="CT34" i="7"/>
  <c r="CS34" i="7"/>
  <c r="CR34" i="7"/>
  <c r="CQ34" i="7"/>
  <c r="CP34" i="7"/>
  <c r="CO34" i="7"/>
  <c r="CN34" i="7"/>
  <c r="CM34" i="7"/>
  <c r="CL34" i="7"/>
  <c r="CK34" i="7"/>
  <c r="CJ34" i="7"/>
  <c r="CI34" i="7"/>
  <c r="CH34" i="7"/>
  <c r="CG34" i="7"/>
  <c r="CF34" i="7"/>
  <c r="CE34" i="7"/>
  <c r="CD34" i="7"/>
  <c r="CC34" i="7"/>
  <c r="CB34" i="7"/>
  <c r="CA34" i="7"/>
  <c r="BZ34" i="7"/>
  <c r="BY34" i="7"/>
  <c r="BX34" i="7"/>
  <c r="BW34" i="7"/>
  <c r="BV34" i="7"/>
  <c r="BU34" i="7"/>
  <c r="BT34" i="7"/>
  <c r="BS34" i="7"/>
  <c r="BR34" i="7"/>
  <c r="BQ34" i="7"/>
  <c r="BP34" i="7"/>
  <c r="BO34" i="7"/>
  <c r="BM34" i="7"/>
  <c r="BL34" i="7"/>
  <c r="BK34" i="7"/>
  <c r="BJ34" i="7"/>
  <c r="BI34" i="7"/>
  <c r="BH34" i="7"/>
  <c r="BG34" i="7"/>
  <c r="BF34" i="7"/>
  <c r="BE34" i="7"/>
  <c r="BD34" i="7"/>
  <c r="BC34" i="7"/>
  <c r="BB34" i="7"/>
  <c r="BA34" i="7"/>
  <c r="AZ34" i="7"/>
  <c r="AY34" i="7"/>
  <c r="AX34" i="7"/>
  <c r="AW34" i="7"/>
  <c r="AV34" i="7"/>
  <c r="AU34" i="7"/>
  <c r="AT34" i="7"/>
  <c r="AS34" i="7"/>
  <c r="AR34" i="7"/>
  <c r="AQ34" i="7"/>
  <c r="AP34" i="7"/>
  <c r="AO34" i="7"/>
  <c r="AN34" i="7"/>
  <c r="AM34" i="7"/>
  <c r="AL34" i="7"/>
  <c r="AJ34" i="7"/>
  <c r="AI34" i="7"/>
  <c r="AH34" i="7"/>
  <c r="AG34" i="7"/>
  <c r="AF34" i="7"/>
  <c r="AE34" i="7"/>
  <c r="AD34" i="7"/>
  <c r="AC34" i="7"/>
  <c r="AB34" i="7"/>
  <c r="AA34" i="7"/>
  <c r="Z34" i="7"/>
  <c r="Y34" i="7"/>
  <c r="X34" i="7"/>
  <c r="W34" i="7"/>
  <c r="V34" i="7"/>
  <c r="U34" i="7"/>
  <c r="T34" i="7"/>
  <c r="S34" i="7"/>
  <c r="R34" i="7"/>
  <c r="Q34" i="7"/>
  <c r="P34" i="7"/>
  <c r="O34" i="7"/>
  <c r="N34" i="7"/>
  <c r="M34" i="7"/>
  <c r="E34" i="7"/>
  <c r="ED33" i="7"/>
  <c r="EC33" i="7"/>
  <c r="EB33" i="7"/>
  <c r="EA33" i="7"/>
  <c r="DZ33" i="7"/>
  <c r="DY33" i="7"/>
  <c r="DX33" i="7"/>
  <c r="DW33" i="7"/>
  <c r="DV33" i="7"/>
  <c r="DU33" i="7"/>
  <c r="DT33" i="7"/>
  <c r="DS33" i="7"/>
  <c r="DR33" i="7"/>
  <c r="DQ33" i="7"/>
  <c r="DP33" i="7"/>
  <c r="DO33" i="7"/>
  <c r="DN33" i="7"/>
  <c r="DM33" i="7"/>
  <c r="DL33" i="7"/>
  <c r="DK33" i="7"/>
  <c r="DJ33" i="7"/>
  <c r="DI33" i="7"/>
  <c r="DH33" i="7"/>
  <c r="DG33" i="7"/>
  <c r="DF33" i="7"/>
  <c r="DE33" i="7"/>
  <c r="DD33" i="7"/>
  <c r="DC33" i="7"/>
  <c r="DB33" i="7"/>
  <c r="DA33" i="7"/>
  <c r="CZ33" i="7"/>
  <c r="CY33" i="7"/>
  <c r="CX33" i="7"/>
  <c r="CW33" i="7"/>
  <c r="CV33" i="7"/>
  <c r="CU33" i="7"/>
  <c r="CT33" i="7"/>
  <c r="CS33" i="7"/>
  <c r="CR33" i="7"/>
  <c r="CQ33" i="7"/>
  <c r="CP33" i="7"/>
  <c r="CO33" i="7"/>
  <c r="CN33" i="7"/>
  <c r="CM33" i="7"/>
  <c r="CL33" i="7"/>
  <c r="CK33" i="7"/>
  <c r="CJ33" i="7"/>
  <c r="CI33" i="7"/>
  <c r="CH33" i="7"/>
  <c r="CG33" i="7"/>
  <c r="CF33" i="7"/>
  <c r="CE33" i="7"/>
  <c r="CD33" i="7"/>
  <c r="CC33" i="7"/>
  <c r="CB33" i="7"/>
  <c r="CA33" i="7"/>
  <c r="BZ33" i="7"/>
  <c r="BY33" i="7"/>
  <c r="BX33" i="7"/>
  <c r="BW33" i="7"/>
  <c r="BV33" i="7"/>
  <c r="BU33" i="7"/>
  <c r="BT33" i="7"/>
  <c r="BS33" i="7"/>
  <c r="BR33" i="7"/>
  <c r="BQ33" i="7"/>
  <c r="BP33" i="7"/>
  <c r="BO33" i="7"/>
  <c r="BM33" i="7"/>
  <c r="BL33" i="7"/>
  <c r="BK33" i="7"/>
  <c r="BJ33" i="7"/>
  <c r="BI33" i="7"/>
  <c r="BH33" i="7"/>
  <c r="BG33" i="7"/>
  <c r="BF33" i="7"/>
  <c r="BE33" i="7"/>
  <c r="BD33" i="7"/>
  <c r="BC33" i="7"/>
  <c r="BB33" i="7"/>
  <c r="BA33" i="7"/>
  <c r="AZ33" i="7"/>
  <c r="AY33" i="7"/>
  <c r="AX33" i="7"/>
  <c r="AW33" i="7"/>
  <c r="AV33" i="7"/>
  <c r="AU33" i="7"/>
  <c r="AT33" i="7"/>
  <c r="AS33" i="7"/>
  <c r="AR33" i="7"/>
  <c r="AQ33" i="7"/>
  <c r="AP33" i="7"/>
  <c r="AO33" i="7"/>
  <c r="AN33" i="7"/>
  <c r="AM33" i="7"/>
  <c r="AL33" i="7"/>
  <c r="AJ33" i="7"/>
  <c r="AI33" i="7"/>
  <c r="AH33" i="7"/>
  <c r="AG33" i="7"/>
  <c r="AF33" i="7"/>
  <c r="AE33" i="7"/>
  <c r="AD33" i="7"/>
  <c r="AC33" i="7"/>
  <c r="AB33" i="7"/>
  <c r="AA33" i="7"/>
  <c r="Z33" i="7"/>
  <c r="Y33" i="7"/>
  <c r="X33" i="7"/>
  <c r="W33" i="7"/>
  <c r="V33" i="7"/>
  <c r="U33" i="7"/>
  <c r="T33" i="7"/>
  <c r="S33" i="7"/>
  <c r="R33" i="7"/>
  <c r="Q33" i="7"/>
  <c r="P33" i="7"/>
  <c r="O33" i="7"/>
  <c r="N33" i="7"/>
  <c r="M33" i="7"/>
  <c r="E33" i="7"/>
  <c r="ED32" i="7"/>
  <c r="EC32" i="7"/>
  <c r="EB32" i="7"/>
  <c r="EA32" i="7"/>
  <c r="DZ32" i="7"/>
  <c r="DY32" i="7"/>
  <c r="DX32" i="7"/>
  <c r="DW32" i="7"/>
  <c r="DV32" i="7"/>
  <c r="DU32" i="7"/>
  <c r="DT32" i="7"/>
  <c r="DS32" i="7"/>
  <c r="DR32" i="7"/>
  <c r="DQ32" i="7"/>
  <c r="DP32" i="7"/>
  <c r="DO32" i="7"/>
  <c r="DN32" i="7"/>
  <c r="DM32" i="7"/>
  <c r="DL32" i="7"/>
  <c r="DK32" i="7"/>
  <c r="DJ32" i="7"/>
  <c r="DI32" i="7"/>
  <c r="DH32" i="7"/>
  <c r="DG32" i="7"/>
  <c r="DF32" i="7"/>
  <c r="DE32" i="7"/>
  <c r="DD32" i="7"/>
  <c r="DC32" i="7"/>
  <c r="DB32" i="7"/>
  <c r="DA32" i="7"/>
  <c r="CZ32" i="7"/>
  <c r="CY32" i="7"/>
  <c r="CX32" i="7"/>
  <c r="CW32" i="7"/>
  <c r="CV32" i="7"/>
  <c r="CU32" i="7"/>
  <c r="CT32" i="7"/>
  <c r="CS32" i="7"/>
  <c r="CR32" i="7"/>
  <c r="CQ32" i="7"/>
  <c r="CP32" i="7"/>
  <c r="CO32" i="7"/>
  <c r="CN32" i="7"/>
  <c r="CM32" i="7"/>
  <c r="CL32" i="7"/>
  <c r="CK32" i="7"/>
  <c r="CJ32" i="7"/>
  <c r="CI32" i="7"/>
  <c r="CH32" i="7"/>
  <c r="CG32" i="7"/>
  <c r="CF32" i="7"/>
  <c r="CE32" i="7"/>
  <c r="CD32" i="7"/>
  <c r="CC32" i="7"/>
  <c r="CB32" i="7"/>
  <c r="CA32" i="7"/>
  <c r="BZ32" i="7"/>
  <c r="BY32" i="7"/>
  <c r="BX32" i="7"/>
  <c r="BW32" i="7"/>
  <c r="BV32" i="7"/>
  <c r="BU32" i="7"/>
  <c r="BT32" i="7"/>
  <c r="BS32" i="7"/>
  <c r="BR32" i="7"/>
  <c r="BQ32" i="7"/>
  <c r="BP32" i="7"/>
  <c r="BO32" i="7"/>
  <c r="BM32" i="7"/>
  <c r="BL32" i="7"/>
  <c r="BK32" i="7"/>
  <c r="BJ32" i="7"/>
  <c r="BI32" i="7"/>
  <c r="BH32" i="7"/>
  <c r="BG32" i="7"/>
  <c r="BF32" i="7"/>
  <c r="BE32" i="7"/>
  <c r="BD32" i="7"/>
  <c r="BC32" i="7"/>
  <c r="BB32" i="7"/>
  <c r="BA32" i="7"/>
  <c r="AZ32" i="7"/>
  <c r="AY32" i="7"/>
  <c r="AX32" i="7"/>
  <c r="AW32" i="7"/>
  <c r="AV32" i="7"/>
  <c r="AU32" i="7"/>
  <c r="AT32" i="7"/>
  <c r="AS32" i="7"/>
  <c r="AR32" i="7"/>
  <c r="AQ32" i="7"/>
  <c r="AP32" i="7"/>
  <c r="AO32" i="7"/>
  <c r="AN32" i="7"/>
  <c r="AM32" i="7"/>
  <c r="AL32" i="7"/>
  <c r="AJ32" i="7"/>
  <c r="AI32" i="7"/>
  <c r="AH32" i="7"/>
  <c r="AG32" i="7"/>
  <c r="AF32" i="7"/>
  <c r="AE32" i="7"/>
  <c r="AD32" i="7"/>
  <c r="AC32" i="7"/>
  <c r="AB32" i="7"/>
  <c r="AA32" i="7"/>
  <c r="Z32" i="7"/>
  <c r="Y32" i="7"/>
  <c r="X32" i="7"/>
  <c r="W32" i="7"/>
  <c r="V32" i="7"/>
  <c r="U32" i="7"/>
  <c r="T32" i="7"/>
  <c r="S32" i="7"/>
  <c r="R32" i="7"/>
  <c r="Q32" i="7"/>
  <c r="P32" i="7"/>
  <c r="O32" i="7"/>
  <c r="N32" i="7"/>
  <c r="M32" i="7"/>
  <c r="E32" i="7"/>
  <c r="ED31" i="7"/>
  <c r="EC31" i="7"/>
  <c r="EB31" i="7"/>
  <c r="EA31" i="7"/>
  <c r="DZ31" i="7"/>
  <c r="DY31" i="7"/>
  <c r="DX31" i="7"/>
  <c r="DW31" i="7"/>
  <c r="DV31" i="7"/>
  <c r="DU31" i="7"/>
  <c r="DT31" i="7"/>
  <c r="DS31" i="7"/>
  <c r="DR31" i="7"/>
  <c r="DQ31" i="7"/>
  <c r="DP31" i="7"/>
  <c r="DO31" i="7"/>
  <c r="DN31" i="7"/>
  <c r="DM31" i="7"/>
  <c r="DL31" i="7"/>
  <c r="DK31" i="7"/>
  <c r="DJ31" i="7"/>
  <c r="DI31" i="7"/>
  <c r="DH31" i="7"/>
  <c r="DG31" i="7"/>
  <c r="DF31" i="7"/>
  <c r="DE31" i="7"/>
  <c r="DD31" i="7"/>
  <c r="DC31" i="7"/>
  <c r="DB31" i="7"/>
  <c r="DA31" i="7"/>
  <c r="CZ31" i="7"/>
  <c r="CY31" i="7"/>
  <c r="CX31" i="7"/>
  <c r="CW31" i="7"/>
  <c r="CV31" i="7"/>
  <c r="CU31" i="7"/>
  <c r="CT31" i="7"/>
  <c r="CS31" i="7"/>
  <c r="CR31" i="7"/>
  <c r="CQ31" i="7"/>
  <c r="CP31" i="7"/>
  <c r="CO31" i="7"/>
  <c r="CN31" i="7"/>
  <c r="CM31" i="7"/>
  <c r="CL31" i="7"/>
  <c r="CK31" i="7"/>
  <c r="CJ31" i="7"/>
  <c r="CI31" i="7"/>
  <c r="CH31" i="7"/>
  <c r="CG31" i="7"/>
  <c r="CF31" i="7"/>
  <c r="CE31" i="7"/>
  <c r="CD31" i="7"/>
  <c r="CC31" i="7"/>
  <c r="CB31" i="7"/>
  <c r="CA31" i="7"/>
  <c r="BZ31" i="7"/>
  <c r="BY31" i="7"/>
  <c r="BX31" i="7"/>
  <c r="BW31" i="7"/>
  <c r="BV31" i="7"/>
  <c r="BU31" i="7"/>
  <c r="BT31" i="7"/>
  <c r="BS31" i="7"/>
  <c r="BR31" i="7"/>
  <c r="BQ31" i="7"/>
  <c r="BP31" i="7"/>
  <c r="BO31" i="7"/>
  <c r="BM31" i="7"/>
  <c r="BL31" i="7"/>
  <c r="BK31" i="7"/>
  <c r="BJ31" i="7"/>
  <c r="BI31" i="7"/>
  <c r="BH31" i="7"/>
  <c r="BG31" i="7"/>
  <c r="BF31" i="7"/>
  <c r="BE31" i="7"/>
  <c r="BD31" i="7"/>
  <c r="BC31" i="7"/>
  <c r="BB31" i="7"/>
  <c r="BA31" i="7"/>
  <c r="AZ31" i="7"/>
  <c r="AY31" i="7"/>
  <c r="AX31" i="7"/>
  <c r="AW31" i="7"/>
  <c r="AV31" i="7"/>
  <c r="AU31" i="7"/>
  <c r="AT31" i="7"/>
  <c r="AS31" i="7"/>
  <c r="AR31" i="7"/>
  <c r="AQ31" i="7"/>
  <c r="AP31" i="7"/>
  <c r="AO31" i="7"/>
  <c r="AN31" i="7"/>
  <c r="AM31" i="7"/>
  <c r="AL31" i="7"/>
  <c r="AJ31" i="7"/>
  <c r="AI31" i="7"/>
  <c r="AH31" i="7"/>
  <c r="AG31" i="7"/>
  <c r="AF31" i="7"/>
  <c r="AE31" i="7"/>
  <c r="AD31" i="7"/>
  <c r="AC31" i="7"/>
  <c r="AB31" i="7"/>
  <c r="AA31" i="7"/>
  <c r="Z31" i="7"/>
  <c r="Y31" i="7"/>
  <c r="X31" i="7"/>
  <c r="W31" i="7"/>
  <c r="V31" i="7"/>
  <c r="U31" i="7"/>
  <c r="T31" i="7"/>
  <c r="S31" i="7"/>
  <c r="R31" i="7"/>
  <c r="Q31" i="7"/>
  <c r="P31" i="7"/>
  <c r="O31" i="7"/>
  <c r="N31" i="7"/>
  <c r="M31" i="7"/>
  <c r="E31" i="7"/>
  <c r="ED30" i="7"/>
  <c r="EC30" i="7"/>
  <c r="EB30" i="7"/>
  <c r="EA30" i="7"/>
  <c r="DZ30" i="7"/>
  <c r="DY30" i="7"/>
  <c r="DX30" i="7"/>
  <c r="DW30" i="7"/>
  <c r="DV30" i="7"/>
  <c r="DU30" i="7"/>
  <c r="DT30" i="7"/>
  <c r="DS30" i="7"/>
  <c r="DR30" i="7"/>
  <c r="DQ30" i="7"/>
  <c r="DP30" i="7"/>
  <c r="DO30" i="7"/>
  <c r="DN30" i="7"/>
  <c r="DM30" i="7"/>
  <c r="DL30" i="7"/>
  <c r="DK30" i="7"/>
  <c r="DJ30" i="7"/>
  <c r="DI30" i="7"/>
  <c r="DH30" i="7"/>
  <c r="DG30" i="7"/>
  <c r="DF30" i="7"/>
  <c r="DE30" i="7"/>
  <c r="DD30" i="7"/>
  <c r="DC30" i="7"/>
  <c r="DB30" i="7"/>
  <c r="DA30" i="7"/>
  <c r="CZ30" i="7"/>
  <c r="CY30" i="7"/>
  <c r="CX30" i="7"/>
  <c r="CW30" i="7"/>
  <c r="CV30" i="7"/>
  <c r="CU30" i="7"/>
  <c r="CT30" i="7"/>
  <c r="CS30" i="7"/>
  <c r="CR30" i="7"/>
  <c r="CQ30" i="7"/>
  <c r="CP30" i="7"/>
  <c r="CO30" i="7"/>
  <c r="CN30" i="7"/>
  <c r="CM30" i="7"/>
  <c r="CL30" i="7"/>
  <c r="CK30" i="7"/>
  <c r="CJ30" i="7"/>
  <c r="CI30" i="7"/>
  <c r="CH30" i="7"/>
  <c r="CG30" i="7"/>
  <c r="CF30" i="7"/>
  <c r="CE30" i="7"/>
  <c r="CD30" i="7"/>
  <c r="CC30" i="7"/>
  <c r="CB30" i="7"/>
  <c r="CA30" i="7"/>
  <c r="BZ30" i="7"/>
  <c r="BY30" i="7"/>
  <c r="BX30" i="7"/>
  <c r="BW30" i="7"/>
  <c r="BV30" i="7"/>
  <c r="BU30" i="7"/>
  <c r="BT30" i="7"/>
  <c r="BS30" i="7"/>
  <c r="BR30" i="7"/>
  <c r="BQ30" i="7"/>
  <c r="BP30" i="7"/>
  <c r="BO30" i="7"/>
  <c r="BM30" i="7"/>
  <c r="BL30" i="7"/>
  <c r="BK30" i="7"/>
  <c r="BJ30" i="7"/>
  <c r="BI30" i="7"/>
  <c r="BH30" i="7"/>
  <c r="BG30" i="7"/>
  <c r="BF30" i="7"/>
  <c r="BE30" i="7"/>
  <c r="BD30" i="7"/>
  <c r="BC30" i="7"/>
  <c r="BB30" i="7"/>
  <c r="BA30" i="7"/>
  <c r="AZ30" i="7"/>
  <c r="AY30" i="7"/>
  <c r="AX30" i="7"/>
  <c r="AW30" i="7"/>
  <c r="AV30" i="7"/>
  <c r="AU30" i="7"/>
  <c r="AT30" i="7"/>
  <c r="AS30" i="7"/>
  <c r="AR30" i="7"/>
  <c r="AQ30" i="7"/>
  <c r="AP30" i="7"/>
  <c r="AO30" i="7"/>
  <c r="AN30" i="7"/>
  <c r="AM30" i="7"/>
  <c r="AL30" i="7"/>
  <c r="AJ30" i="7"/>
  <c r="AI30" i="7"/>
  <c r="AH30" i="7"/>
  <c r="AG30" i="7"/>
  <c r="AF30" i="7"/>
  <c r="AE30" i="7"/>
  <c r="AD30" i="7"/>
  <c r="AC30" i="7"/>
  <c r="AB30" i="7"/>
  <c r="AA30" i="7"/>
  <c r="Z30" i="7"/>
  <c r="Y30" i="7"/>
  <c r="X30" i="7"/>
  <c r="W30" i="7"/>
  <c r="V30" i="7"/>
  <c r="U30" i="7"/>
  <c r="T30" i="7"/>
  <c r="S30" i="7"/>
  <c r="R30" i="7"/>
  <c r="Q30" i="7"/>
  <c r="P30" i="7"/>
  <c r="O30" i="7"/>
  <c r="N30" i="7"/>
  <c r="M30" i="7"/>
  <c r="E30" i="7"/>
  <c r="ED29" i="7"/>
  <c r="EC29" i="7"/>
  <c r="EB29" i="7"/>
  <c r="EA29" i="7"/>
  <c r="DZ29" i="7"/>
  <c r="DY29" i="7"/>
  <c r="DX29" i="7"/>
  <c r="DW29" i="7"/>
  <c r="DV29" i="7"/>
  <c r="DU29" i="7"/>
  <c r="DT29" i="7"/>
  <c r="DS29" i="7"/>
  <c r="DR29" i="7"/>
  <c r="DQ29" i="7"/>
  <c r="DP29" i="7"/>
  <c r="DO29" i="7"/>
  <c r="DN29" i="7"/>
  <c r="DM29" i="7"/>
  <c r="DL29" i="7"/>
  <c r="DK29" i="7"/>
  <c r="DJ29" i="7"/>
  <c r="DI29" i="7"/>
  <c r="DH29" i="7"/>
  <c r="DG29" i="7"/>
  <c r="DF29" i="7"/>
  <c r="DE29" i="7"/>
  <c r="DD29" i="7"/>
  <c r="DC29" i="7"/>
  <c r="DB29" i="7"/>
  <c r="DA29" i="7"/>
  <c r="CZ29" i="7"/>
  <c r="CY29" i="7"/>
  <c r="CX29" i="7"/>
  <c r="CW29" i="7"/>
  <c r="CV29" i="7"/>
  <c r="CU29" i="7"/>
  <c r="CT29" i="7"/>
  <c r="CS29" i="7"/>
  <c r="CR29" i="7"/>
  <c r="CQ29" i="7"/>
  <c r="CP29" i="7"/>
  <c r="CO29" i="7"/>
  <c r="CN29" i="7"/>
  <c r="CM29" i="7"/>
  <c r="CL29" i="7"/>
  <c r="CK29" i="7"/>
  <c r="CJ29" i="7"/>
  <c r="CI29" i="7"/>
  <c r="CH29" i="7"/>
  <c r="CG29" i="7"/>
  <c r="CF29" i="7"/>
  <c r="CE29" i="7"/>
  <c r="CD29" i="7"/>
  <c r="CC29" i="7"/>
  <c r="CB29" i="7"/>
  <c r="CA29" i="7"/>
  <c r="BZ29" i="7"/>
  <c r="BY29" i="7"/>
  <c r="BX29" i="7"/>
  <c r="BW29" i="7"/>
  <c r="BV29" i="7"/>
  <c r="BU29" i="7"/>
  <c r="BT29" i="7"/>
  <c r="BS29" i="7"/>
  <c r="BR29" i="7"/>
  <c r="BQ29" i="7"/>
  <c r="BP29" i="7"/>
  <c r="BO29" i="7"/>
  <c r="BM29" i="7"/>
  <c r="BL29" i="7"/>
  <c r="BK29" i="7"/>
  <c r="BJ29" i="7"/>
  <c r="BI29" i="7"/>
  <c r="BH29" i="7"/>
  <c r="BG29" i="7"/>
  <c r="BF29" i="7"/>
  <c r="BE29" i="7"/>
  <c r="BD29" i="7"/>
  <c r="BC29" i="7"/>
  <c r="BB29" i="7"/>
  <c r="BA29" i="7"/>
  <c r="AZ29" i="7"/>
  <c r="AY29" i="7"/>
  <c r="AX29" i="7"/>
  <c r="AW29" i="7"/>
  <c r="AV29" i="7"/>
  <c r="AU29" i="7"/>
  <c r="AT29" i="7"/>
  <c r="AS29" i="7"/>
  <c r="AR29" i="7"/>
  <c r="AQ29" i="7"/>
  <c r="AP29" i="7"/>
  <c r="AO29" i="7"/>
  <c r="AN29" i="7"/>
  <c r="AM29" i="7"/>
  <c r="AL29" i="7"/>
  <c r="AJ29" i="7"/>
  <c r="AI29" i="7"/>
  <c r="AH29" i="7"/>
  <c r="AG29" i="7"/>
  <c r="AF29" i="7"/>
  <c r="AE29" i="7"/>
  <c r="AD29" i="7"/>
  <c r="AC29" i="7"/>
  <c r="AB29" i="7"/>
  <c r="AA29" i="7"/>
  <c r="Z29" i="7"/>
  <c r="Y29" i="7"/>
  <c r="X29" i="7"/>
  <c r="W29" i="7"/>
  <c r="V29" i="7"/>
  <c r="U29" i="7"/>
  <c r="T29" i="7"/>
  <c r="S29" i="7"/>
  <c r="R29" i="7"/>
  <c r="Q29" i="7"/>
  <c r="P29" i="7"/>
  <c r="O29" i="7"/>
  <c r="N29" i="7"/>
  <c r="M29" i="7"/>
  <c r="ED28" i="7"/>
  <c r="EC28" i="7"/>
  <c r="EB28" i="7"/>
  <c r="EA28" i="7"/>
  <c r="DZ28" i="7"/>
  <c r="DY28" i="7"/>
  <c r="DX28" i="7"/>
  <c r="DW28" i="7"/>
  <c r="DV28" i="7"/>
  <c r="DU28" i="7"/>
  <c r="DT28" i="7"/>
  <c r="DS28" i="7"/>
  <c r="DR28" i="7"/>
  <c r="DQ28" i="7"/>
  <c r="DP28" i="7"/>
  <c r="DO28" i="7"/>
  <c r="DN28" i="7"/>
  <c r="DM28" i="7"/>
  <c r="DL28" i="7"/>
  <c r="DK28" i="7"/>
  <c r="DJ28" i="7"/>
  <c r="DI28" i="7"/>
  <c r="DH28" i="7"/>
  <c r="DG28" i="7"/>
  <c r="DF28" i="7"/>
  <c r="DE28" i="7"/>
  <c r="DD28" i="7"/>
  <c r="DC28" i="7"/>
  <c r="DB28" i="7"/>
  <c r="DA28" i="7"/>
  <c r="CZ28" i="7"/>
  <c r="CY28" i="7"/>
  <c r="CX28" i="7"/>
  <c r="CW28" i="7"/>
  <c r="CV28" i="7"/>
  <c r="CU28" i="7"/>
  <c r="CT28" i="7"/>
  <c r="CS28" i="7"/>
  <c r="CR28" i="7"/>
  <c r="CQ28" i="7"/>
  <c r="CP28" i="7"/>
  <c r="CO28" i="7"/>
  <c r="CN28" i="7"/>
  <c r="CM28" i="7"/>
  <c r="CL28" i="7"/>
  <c r="CK28" i="7"/>
  <c r="CJ28" i="7"/>
  <c r="CI28" i="7"/>
  <c r="CH28" i="7"/>
  <c r="CG28" i="7"/>
  <c r="CF28" i="7"/>
  <c r="CE28" i="7"/>
  <c r="CD28" i="7"/>
  <c r="CC28" i="7"/>
  <c r="CB28" i="7"/>
  <c r="CA28" i="7"/>
  <c r="BZ28" i="7"/>
  <c r="BY28" i="7"/>
  <c r="BX28" i="7"/>
  <c r="BW28" i="7"/>
  <c r="BV28" i="7"/>
  <c r="BU28" i="7"/>
  <c r="BT28" i="7"/>
  <c r="BS28" i="7"/>
  <c r="BR28" i="7"/>
  <c r="BQ28" i="7"/>
  <c r="BP28" i="7"/>
  <c r="BO28" i="7"/>
  <c r="BM28" i="7"/>
  <c r="BL28" i="7"/>
  <c r="BK28" i="7"/>
  <c r="BJ28" i="7"/>
  <c r="BI28" i="7"/>
  <c r="BH28" i="7"/>
  <c r="BG28" i="7"/>
  <c r="BF28" i="7"/>
  <c r="BE28" i="7"/>
  <c r="BD28" i="7"/>
  <c r="BC28" i="7"/>
  <c r="BB28" i="7"/>
  <c r="BA28" i="7"/>
  <c r="AZ28" i="7"/>
  <c r="AY28" i="7"/>
  <c r="AX28" i="7"/>
  <c r="AW28" i="7"/>
  <c r="AV28" i="7"/>
  <c r="AU28" i="7"/>
  <c r="AT28" i="7"/>
  <c r="AS28" i="7"/>
  <c r="AR28" i="7"/>
  <c r="AQ28" i="7"/>
  <c r="AP28" i="7"/>
  <c r="AO28" i="7"/>
  <c r="AN28" i="7"/>
  <c r="AM28" i="7"/>
  <c r="AL28" i="7"/>
  <c r="AJ28" i="7"/>
  <c r="AI28" i="7"/>
  <c r="AH28" i="7"/>
  <c r="AG28" i="7"/>
  <c r="AF28" i="7"/>
  <c r="AE28" i="7"/>
  <c r="AD28" i="7"/>
  <c r="AC28" i="7"/>
  <c r="AB28" i="7"/>
  <c r="AA28" i="7"/>
  <c r="Z28" i="7"/>
  <c r="Y28" i="7"/>
  <c r="X28" i="7"/>
  <c r="W28" i="7"/>
  <c r="V28" i="7"/>
  <c r="U28" i="7"/>
  <c r="T28" i="7"/>
  <c r="S28" i="7"/>
  <c r="R28" i="7"/>
  <c r="Q28" i="7"/>
  <c r="P28" i="7"/>
  <c r="O28" i="7"/>
  <c r="N28" i="7"/>
  <c r="M28" i="7"/>
  <c r="ED27" i="7"/>
  <c r="EC27" i="7"/>
  <c r="EB27" i="7"/>
  <c r="EA27" i="7"/>
  <c r="DZ27" i="7"/>
  <c r="DY27" i="7"/>
  <c r="DX27" i="7"/>
  <c r="DW27" i="7"/>
  <c r="DV27" i="7"/>
  <c r="DU27" i="7"/>
  <c r="DT27" i="7"/>
  <c r="DS27" i="7"/>
  <c r="DR27" i="7"/>
  <c r="DQ27" i="7"/>
  <c r="DP27" i="7"/>
  <c r="DO27" i="7"/>
  <c r="DN27" i="7"/>
  <c r="DM27" i="7"/>
  <c r="DL27" i="7"/>
  <c r="DK27" i="7"/>
  <c r="DJ27" i="7"/>
  <c r="DI27" i="7"/>
  <c r="DH27" i="7"/>
  <c r="DG27" i="7"/>
  <c r="DF27" i="7"/>
  <c r="DE27" i="7"/>
  <c r="DD27" i="7"/>
  <c r="DC27" i="7"/>
  <c r="DB27" i="7"/>
  <c r="DA27" i="7"/>
  <c r="CZ27" i="7"/>
  <c r="CY27" i="7"/>
  <c r="CX27" i="7"/>
  <c r="CW27" i="7"/>
  <c r="CV27" i="7"/>
  <c r="CU27" i="7"/>
  <c r="CT27" i="7"/>
  <c r="CS27" i="7"/>
  <c r="CR27" i="7"/>
  <c r="CQ27" i="7"/>
  <c r="CP27" i="7"/>
  <c r="CO27" i="7"/>
  <c r="CN27" i="7"/>
  <c r="CM27" i="7"/>
  <c r="CL27" i="7"/>
  <c r="CK27" i="7"/>
  <c r="CJ27" i="7"/>
  <c r="CI27" i="7"/>
  <c r="CH27" i="7"/>
  <c r="CG27" i="7"/>
  <c r="CF27" i="7"/>
  <c r="CE27" i="7"/>
  <c r="CD27" i="7"/>
  <c r="CC27" i="7"/>
  <c r="CB27" i="7"/>
  <c r="CA27" i="7"/>
  <c r="BZ27" i="7"/>
  <c r="BY27" i="7"/>
  <c r="BX27" i="7"/>
  <c r="BW27" i="7"/>
  <c r="BV27" i="7"/>
  <c r="BU27" i="7"/>
  <c r="BT27" i="7"/>
  <c r="BS27" i="7"/>
  <c r="BR27" i="7"/>
  <c r="BQ27" i="7"/>
  <c r="BP27" i="7"/>
  <c r="BO27" i="7"/>
  <c r="BM27" i="7"/>
  <c r="BL27" i="7"/>
  <c r="BK27" i="7"/>
  <c r="BJ27" i="7"/>
  <c r="BI27" i="7"/>
  <c r="BH27" i="7"/>
  <c r="BG27" i="7"/>
  <c r="BF27" i="7"/>
  <c r="BE27" i="7"/>
  <c r="BD27" i="7"/>
  <c r="BC27" i="7"/>
  <c r="BB27" i="7"/>
  <c r="BA27" i="7"/>
  <c r="AZ27" i="7"/>
  <c r="AY27" i="7"/>
  <c r="AX27" i="7"/>
  <c r="AW27" i="7"/>
  <c r="AV27" i="7"/>
  <c r="AU27" i="7"/>
  <c r="AT27" i="7"/>
  <c r="AS27" i="7"/>
  <c r="AR27" i="7"/>
  <c r="AQ27" i="7"/>
  <c r="AP27" i="7"/>
  <c r="AO27" i="7"/>
  <c r="AN27" i="7"/>
  <c r="AM27" i="7"/>
  <c r="AL27" i="7"/>
  <c r="AJ27" i="7"/>
  <c r="AI27" i="7"/>
  <c r="AH27" i="7"/>
  <c r="AG27" i="7"/>
  <c r="AF27" i="7"/>
  <c r="AE27" i="7"/>
  <c r="AD27" i="7"/>
  <c r="AC27" i="7"/>
  <c r="AB27" i="7"/>
  <c r="AA27" i="7"/>
  <c r="Z27" i="7"/>
  <c r="Y27" i="7"/>
  <c r="X27" i="7"/>
  <c r="W27" i="7"/>
  <c r="V27" i="7"/>
  <c r="U27" i="7"/>
  <c r="T27" i="7"/>
  <c r="S27" i="7"/>
  <c r="R27" i="7"/>
  <c r="Q27" i="7"/>
  <c r="P27" i="7"/>
  <c r="O27" i="7"/>
  <c r="N27" i="7"/>
  <c r="M27" i="7"/>
  <c r="ED26" i="7"/>
  <c r="EC26" i="7"/>
  <c r="EB26" i="7"/>
  <c r="EA26" i="7"/>
  <c r="DZ26" i="7"/>
  <c r="DY26" i="7"/>
  <c r="DX26" i="7"/>
  <c r="DW26" i="7"/>
  <c r="DV26" i="7"/>
  <c r="DU26" i="7"/>
  <c r="DT26" i="7"/>
  <c r="DS26" i="7"/>
  <c r="DR26" i="7"/>
  <c r="DQ26" i="7"/>
  <c r="DP26" i="7"/>
  <c r="DO26" i="7"/>
  <c r="DN26" i="7"/>
  <c r="DM26" i="7"/>
  <c r="DL26" i="7"/>
  <c r="DK26" i="7"/>
  <c r="DJ26" i="7"/>
  <c r="DI26" i="7"/>
  <c r="DH26" i="7"/>
  <c r="DG26" i="7"/>
  <c r="DF26" i="7"/>
  <c r="DE26" i="7"/>
  <c r="DD26" i="7"/>
  <c r="DC26" i="7"/>
  <c r="DB26" i="7"/>
  <c r="DA26" i="7"/>
  <c r="CZ26" i="7"/>
  <c r="CY26" i="7"/>
  <c r="CX26" i="7"/>
  <c r="CW26" i="7"/>
  <c r="CV26" i="7"/>
  <c r="CU26" i="7"/>
  <c r="CT26" i="7"/>
  <c r="CS26" i="7"/>
  <c r="CR26" i="7"/>
  <c r="CQ26" i="7"/>
  <c r="CP26" i="7"/>
  <c r="CO26" i="7"/>
  <c r="CN26" i="7"/>
  <c r="CM26" i="7"/>
  <c r="CL26" i="7"/>
  <c r="CK26" i="7"/>
  <c r="CJ26" i="7"/>
  <c r="CI26" i="7"/>
  <c r="CH26" i="7"/>
  <c r="CG26" i="7"/>
  <c r="CF26" i="7"/>
  <c r="CE26" i="7"/>
  <c r="CD26" i="7"/>
  <c r="CC26" i="7"/>
  <c r="CB26" i="7"/>
  <c r="CA26" i="7"/>
  <c r="BZ26" i="7"/>
  <c r="BY26" i="7"/>
  <c r="BX26" i="7"/>
  <c r="BW26" i="7"/>
  <c r="BV26" i="7"/>
  <c r="BU26" i="7"/>
  <c r="BT26" i="7"/>
  <c r="BS26" i="7"/>
  <c r="BR26" i="7"/>
  <c r="BQ26" i="7"/>
  <c r="BP26" i="7"/>
  <c r="BO26" i="7"/>
  <c r="BM26" i="7"/>
  <c r="BL26" i="7"/>
  <c r="BK26" i="7"/>
  <c r="BJ26" i="7"/>
  <c r="BI26" i="7"/>
  <c r="BH26" i="7"/>
  <c r="BG26" i="7"/>
  <c r="BF26" i="7"/>
  <c r="BE26" i="7"/>
  <c r="BD26" i="7"/>
  <c r="BC26" i="7"/>
  <c r="BB26" i="7"/>
  <c r="BA26" i="7"/>
  <c r="AZ26" i="7"/>
  <c r="AY26" i="7"/>
  <c r="AX26" i="7"/>
  <c r="AW26" i="7"/>
  <c r="AV26" i="7"/>
  <c r="AU26" i="7"/>
  <c r="AT26" i="7"/>
  <c r="AS26" i="7"/>
  <c r="AR26" i="7"/>
  <c r="AQ26" i="7"/>
  <c r="AP26" i="7"/>
  <c r="AO26" i="7"/>
  <c r="AN26" i="7"/>
  <c r="AM26" i="7"/>
  <c r="AL26" i="7"/>
  <c r="AJ26" i="7"/>
  <c r="AI26" i="7"/>
  <c r="AH26" i="7"/>
  <c r="AG26" i="7"/>
  <c r="AF26" i="7"/>
  <c r="AE26" i="7"/>
  <c r="AD26" i="7"/>
  <c r="AC26" i="7"/>
  <c r="AB26" i="7"/>
  <c r="AA26" i="7"/>
  <c r="Z26" i="7"/>
  <c r="Y26" i="7"/>
  <c r="X26" i="7"/>
  <c r="W26" i="7"/>
  <c r="V26" i="7"/>
  <c r="U26" i="7"/>
  <c r="T26" i="7"/>
  <c r="S26" i="7"/>
  <c r="R26" i="7"/>
  <c r="Q26" i="7"/>
  <c r="P26" i="7"/>
  <c r="O26" i="7"/>
  <c r="N26" i="7"/>
  <c r="M26" i="7"/>
  <c r="L26" i="7"/>
  <c r="J26" i="7"/>
  <c r="F26" i="7"/>
  <c r="E26" i="7"/>
  <c r="ED25" i="7"/>
  <c r="EC25" i="7"/>
  <c r="EB25" i="7"/>
  <c r="EA25" i="7"/>
  <c r="DZ25" i="7"/>
  <c r="DY25" i="7"/>
  <c r="DX25" i="7"/>
  <c r="DW25" i="7"/>
  <c r="DV25" i="7"/>
  <c r="DU25" i="7"/>
  <c r="DT25" i="7"/>
  <c r="DS25" i="7"/>
  <c r="DR25" i="7"/>
  <c r="DQ25" i="7"/>
  <c r="DP25" i="7"/>
  <c r="DO25" i="7"/>
  <c r="DN25" i="7"/>
  <c r="DM25" i="7"/>
  <c r="DL25" i="7"/>
  <c r="DK25" i="7"/>
  <c r="DJ25" i="7"/>
  <c r="DI25" i="7"/>
  <c r="DH25" i="7"/>
  <c r="DG25" i="7"/>
  <c r="DF25" i="7"/>
  <c r="DE25" i="7"/>
  <c r="DD25" i="7"/>
  <c r="DC25" i="7"/>
  <c r="DB25" i="7"/>
  <c r="DA25" i="7"/>
  <c r="CZ25" i="7"/>
  <c r="CY25" i="7"/>
  <c r="CX25" i="7"/>
  <c r="CW25" i="7"/>
  <c r="CV25" i="7"/>
  <c r="CU25" i="7"/>
  <c r="CT25" i="7"/>
  <c r="CS25" i="7"/>
  <c r="CR25" i="7"/>
  <c r="CQ25" i="7"/>
  <c r="CP25" i="7"/>
  <c r="CO25" i="7"/>
  <c r="CN25" i="7"/>
  <c r="CM25" i="7"/>
  <c r="CL25" i="7"/>
  <c r="CK25" i="7"/>
  <c r="CJ25" i="7"/>
  <c r="CI25" i="7"/>
  <c r="CH25" i="7"/>
  <c r="CG25" i="7"/>
  <c r="CF25" i="7"/>
  <c r="CE25" i="7"/>
  <c r="CD25" i="7"/>
  <c r="CC25" i="7"/>
  <c r="CB25" i="7"/>
  <c r="CA25" i="7"/>
  <c r="BZ25" i="7"/>
  <c r="BY25" i="7"/>
  <c r="BX25" i="7"/>
  <c r="BW25" i="7"/>
  <c r="BV25" i="7"/>
  <c r="BU25" i="7"/>
  <c r="BT25" i="7"/>
  <c r="BS25" i="7"/>
  <c r="BR25" i="7"/>
  <c r="BQ25" i="7"/>
  <c r="BP25" i="7"/>
  <c r="BO25" i="7"/>
  <c r="BM25" i="7"/>
  <c r="BL25" i="7"/>
  <c r="BK25" i="7"/>
  <c r="BJ25" i="7"/>
  <c r="BI25" i="7"/>
  <c r="BH25" i="7"/>
  <c r="BG25" i="7"/>
  <c r="BF25" i="7"/>
  <c r="BE25" i="7"/>
  <c r="BD25" i="7"/>
  <c r="BC25" i="7"/>
  <c r="BB25" i="7"/>
  <c r="BA25" i="7"/>
  <c r="AZ25" i="7"/>
  <c r="AY25" i="7"/>
  <c r="AX25" i="7"/>
  <c r="AW25" i="7"/>
  <c r="AV25" i="7"/>
  <c r="AU25" i="7"/>
  <c r="AT25" i="7"/>
  <c r="AS25" i="7"/>
  <c r="AR25" i="7"/>
  <c r="AQ25" i="7"/>
  <c r="AP25" i="7"/>
  <c r="AO25" i="7"/>
  <c r="AN25" i="7"/>
  <c r="AM25" i="7"/>
  <c r="AL25" i="7"/>
  <c r="AJ25" i="7"/>
  <c r="AI25" i="7"/>
  <c r="AH25" i="7"/>
  <c r="AG25" i="7"/>
  <c r="AF25" i="7"/>
  <c r="AE25" i="7"/>
  <c r="AD25" i="7"/>
  <c r="AC25" i="7"/>
  <c r="AB25" i="7"/>
  <c r="AA25" i="7"/>
  <c r="Z25" i="7"/>
  <c r="Y25" i="7"/>
  <c r="X25" i="7"/>
  <c r="W25" i="7"/>
  <c r="V25" i="7"/>
  <c r="U25" i="7"/>
  <c r="T25" i="7"/>
  <c r="S25" i="7"/>
  <c r="R25" i="7"/>
  <c r="Q25" i="7"/>
  <c r="P25" i="7"/>
  <c r="O25" i="7"/>
  <c r="N25" i="7"/>
  <c r="M25" i="7"/>
  <c r="L25" i="7"/>
  <c r="J25" i="7"/>
  <c r="F25" i="7"/>
  <c r="E25" i="7"/>
  <c r="ED24" i="7"/>
  <c r="EC24" i="7"/>
  <c r="EB24" i="7"/>
  <c r="EA24" i="7"/>
  <c r="DZ24" i="7"/>
  <c r="DY24" i="7"/>
  <c r="DX24" i="7"/>
  <c r="DW24" i="7"/>
  <c r="DV24" i="7"/>
  <c r="DU24" i="7"/>
  <c r="DT24" i="7"/>
  <c r="DS24" i="7"/>
  <c r="DR24" i="7"/>
  <c r="DQ24" i="7"/>
  <c r="DP24" i="7"/>
  <c r="DO24" i="7"/>
  <c r="DN24" i="7"/>
  <c r="DM24" i="7"/>
  <c r="DL24" i="7"/>
  <c r="DK24" i="7"/>
  <c r="DJ24" i="7"/>
  <c r="DI24" i="7"/>
  <c r="DH24" i="7"/>
  <c r="DG24" i="7"/>
  <c r="DF24" i="7"/>
  <c r="DE24" i="7"/>
  <c r="DD24" i="7"/>
  <c r="DC24" i="7"/>
  <c r="DB24" i="7"/>
  <c r="DA24" i="7"/>
  <c r="CZ24" i="7"/>
  <c r="CY24" i="7"/>
  <c r="CX24" i="7"/>
  <c r="CW24" i="7"/>
  <c r="CV24" i="7"/>
  <c r="CU24" i="7"/>
  <c r="CT24" i="7"/>
  <c r="CS24" i="7"/>
  <c r="CR24" i="7"/>
  <c r="CQ24" i="7"/>
  <c r="CP24" i="7"/>
  <c r="CO24" i="7"/>
  <c r="CN24" i="7"/>
  <c r="CM24" i="7"/>
  <c r="CL24" i="7"/>
  <c r="CK24" i="7"/>
  <c r="CJ24" i="7"/>
  <c r="CI24" i="7"/>
  <c r="CH24" i="7"/>
  <c r="CG24" i="7"/>
  <c r="CF24" i="7"/>
  <c r="CE24" i="7"/>
  <c r="CD24" i="7"/>
  <c r="CC24" i="7"/>
  <c r="CB24" i="7"/>
  <c r="CA24" i="7"/>
  <c r="BZ24" i="7"/>
  <c r="BY24" i="7"/>
  <c r="BX24" i="7"/>
  <c r="BW24" i="7"/>
  <c r="BV24" i="7"/>
  <c r="BU24" i="7"/>
  <c r="BT24" i="7"/>
  <c r="BS24" i="7"/>
  <c r="BR24" i="7"/>
  <c r="BQ24" i="7"/>
  <c r="BP24" i="7"/>
  <c r="BO24" i="7"/>
  <c r="BM24" i="7"/>
  <c r="BL24" i="7"/>
  <c r="BK24" i="7"/>
  <c r="BJ24" i="7"/>
  <c r="BI24" i="7"/>
  <c r="BH24" i="7"/>
  <c r="BG24" i="7"/>
  <c r="BF24" i="7"/>
  <c r="BE24" i="7"/>
  <c r="BD24" i="7"/>
  <c r="BC24" i="7"/>
  <c r="BB24" i="7"/>
  <c r="BA24" i="7"/>
  <c r="AZ24" i="7"/>
  <c r="AY24" i="7"/>
  <c r="AX24" i="7"/>
  <c r="AW24" i="7"/>
  <c r="AV24" i="7"/>
  <c r="AU24" i="7"/>
  <c r="AT24" i="7"/>
  <c r="AS24" i="7"/>
  <c r="AR24" i="7"/>
  <c r="AQ24" i="7"/>
  <c r="AP24" i="7"/>
  <c r="AO24" i="7"/>
  <c r="AN24" i="7"/>
  <c r="AM24" i="7"/>
  <c r="AL24" i="7"/>
  <c r="AJ24" i="7"/>
  <c r="AI24" i="7"/>
  <c r="AH24" i="7"/>
  <c r="AG24" i="7"/>
  <c r="AF24" i="7"/>
  <c r="AE24" i="7"/>
  <c r="AD24" i="7"/>
  <c r="AC24" i="7"/>
  <c r="AB24" i="7"/>
  <c r="AA24" i="7"/>
  <c r="Z24" i="7"/>
  <c r="Y24" i="7"/>
  <c r="X24" i="7"/>
  <c r="W24" i="7"/>
  <c r="V24" i="7"/>
  <c r="U24" i="7"/>
  <c r="T24" i="7"/>
  <c r="S24" i="7"/>
  <c r="R24" i="7"/>
  <c r="Q24" i="7"/>
  <c r="P24" i="7"/>
  <c r="O24" i="7"/>
  <c r="N24" i="7"/>
  <c r="M24" i="7"/>
  <c r="L24" i="7"/>
  <c r="J24" i="7"/>
  <c r="F24" i="7"/>
  <c r="E24" i="7"/>
  <c r="ED23" i="7"/>
  <c r="EC23" i="7"/>
  <c r="EB23" i="7"/>
  <c r="EA23" i="7"/>
  <c r="DZ23" i="7"/>
  <c r="DY23" i="7"/>
  <c r="DX23" i="7"/>
  <c r="DW23" i="7"/>
  <c r="DV23" i="7"/>
  <c r="DU23" i="7"/>
  <c r="DT23" i="7"/>
  <c r="DS23" i="7"/>
  <c r="DR23" i="7"/>
  <c r="DQ23" i="7"/>
  <c r="DP23" i="7"/>
  <c r="DO23" i="7"/>
  <c r="DN23" i="7"/>
  <c r="DM23" i="7"/>
  <c r="DL23" i="7"/>
  <c r="DK23" i="7"/>
  <c r="DJ23" i="7"/>
  <c r="DI23" i="7"/>
  <c r="DH23" i="7"/>
  <c r="DG23" i="7"/>
  <c r="DF23" i="7"/>
  <c r="DE23" i="7"/>
  <c r="DD23" i="7"/>
  <c r="DC23" i="7"/>
  <c r="DB23" i="7"/>
  <c r="DA23" i="7"/>
  <c r="CZ23" i="7"/>
  <c r="CY23" i="7"/>
  <c r="CX23" i="7"/>
  <c r="CW23" i="7"/>
  <c r="CV23" i="7"/>
  <c r="CU23" i="7"/>
  <c r="CT23" i="7"/>
  <c r="CS23" i="7"/>
  <c r="CR23" i="7"/>
  <c r="CQ23" i="7"/>
  <c r="CP23" i="7"/>
  <c r="CO23" i="7"/>
  <c r="CN23" i="7"/>
  <c r="CM23" i="7"/>
  <c r="CL23" i="7"/>
  <c r="CK23" i="7"/>
  <c r="CJ23" i="7"/>
  <c r="CI23" i="7"/>
  <c r="CH23" i="7"/>
  <c r="CG23" i="7"/>
  <c r="CF23" i="7"/>
  <c r="CE23" i="7"/>
  <c r="CD23" i="7"/>
  <c r="CC23" i="7"/>
  <c r="CB23" i="7"/>
  <c r="CA23" i="7"/>
  <c r="BZ23" i="7"/>
  <c r="BY23" i="7"/>
  <c r="BX23" i="7"/>
  <c r="BW23" i="7"/>
  <c r="BV23" i="7"/>
  <c r="BU23" i="7"/>
  <c r="BT23" i="7"/>
  <c r="BS23" i="7"/>
  <c r="BR23" i="7"/>
  <c r="BQ23" i="7"/>
  <c r="BP23" i="7"/>
  <c r="BO23" i="7"/>
  <c r="BM23" i="7"/>
  <c r="BL23" i="7"/>
  <c r="BK23" i="7"/>
  <c r="BJ23" i="7"/>
  <c r="BI23" i="7"/>
  <c r="BH23" i="7"/>
  <c r="BG23" i="7"/>
  <c r="BF23" i="7"/>
  <c r="BE23" i="7"/>
  <c r="BD23" i="7"/>
  <c r="BC23" i="7"/>
  <c r="BB23" i="7"/>
  <c r="BA23" i="7"/>
  <c r="AZ23" i="7"/>
  <c r="AY23" i="7"/>
  <c r="AX23" i="7"/>
  <c r="AW23" i="7"/>
  <c r="AV23" i="7"/>
  <c r="AU23" i="7"/>
  <c r="AT23" i="7"/>
  <c r="AS23" i="7"/>
  <c r="AR23" i="7"/>
  <c r="AQ23" i="7"/>
  <c r="AP23" i="7"/>
  <c r="AO23" i="7"/>
  <c r="AN23" i="7"/>
  <c r="AM23" i="7"/>
  <c r="AL23" i="7"/>
  <c r="AJ23" i="7"/>
  <c r="AI23" i="7"/>
  <c r="AH23" i="7"/>
  <c r="AG23" i="7"/>
  <c r="AF23" i="7"/>
  <c r="AE23" i="7"/>
  <c r="AD23" i="7"/>
  <c r="AC23" i="7"/>
  <c r="AB23" i="7"/>
  <c r="AA23" i="7"/>
  <c r="Z23" i="7"/>
  <c r="Y23" i="7"/>
  <c r="X23" i="7"/>
  <c r="W23" i="7"/>
  <c r="V23" i="7"/>
  <c r="U23" i="7"/>
  <c r="T23" i="7"/>
  <c r="S23" i="7"/>
  <c r="R23" i="7"/>
  <c r="Q23" i="7"/>
  <c r="P23" i="7"/>
  <c r="O23" i="7"/>
  <c r="N23" i="7"/>
  <c r="M23" i="7"/>
  <c r="L23" i="7"/>
  <c r="J23" i="7"/>
  <c r="F23" i="7"/>
  <c r="E23" i="7"/>
  <c r="ED22" i="7"/>
  <c r="EC22" i="7"/>
  <c r="EB22" i="7"/>
  <c r="EA22" i="7"/>
  <c r="DZ22" i="7"/>
  <c r="DY22" i="7"/>
  <c r="DX22" i="7"/>
  <c r="DW22" i="7"/>
  <c r="DV22" i="7"/>
  <c r="DU22" i="7"/>
  <c r="DT22" i="7"/>
  <c r="DS22" i="7"/>
  <c r="DR22" i="7"/>
  <c r="DQ22" i="7"/>
  <c r="DP22" i="7"/>
  <c r="DO22" i="7"/>
  <c r="DN22" i="7"/>
  <c r="DM22" i="7"/>
  <c r="DL22" i="7"/>
  <c r="DK22" i="7"/>
  <c r="DJ22" i="7"/>
  <c r="DI22" i="7"/>
  <c r="DH22" i="7"/>
  <c r="DG22" i="7"/>
  <c r="DF22" i="7"/>
  <c r="DE22" i="7"/>
  <c r="DD22" i="7"/>
  <c r="DC22" i="7"/>
  <c r="DB22" i="7"/>
  <c r="DA22" i="7"/>
  <c r="CZ22" i="7"/>
  <c r="CY22" i="7"/>
  <c r="CX22" i="7"/>
  <c r="CW22" i="7"/>
  <c r="CV22" i="7"/>
  <c r="CU22" i="7"/>
  <c r="CT22" i="7"/>
  <c r="CS22" i="7"/>
  <c r="CR22" i="7"/>
  <c r="CQ22" i="7"/>
  <c r="CP22" i="7"/>
  <c r="CO22" i="7"/>
  <c r="CN22" i="7"/>
  <c r="CM22" i="7"/>
  <c r="CL22" i="7"/>
  <c r="CK22" i="7"/>
  <c r="CJ22" i="7"/>
  <c r="CI22" i="7"/>
  <c r="CH22" i="7"/>
  <c r="CG22" i="7"/>
  <c r="CF22" i="7"/>
  <c r="CE22" i="7"/>
  <c r="CD22" i="7"/>
  <c r="CC22" i="7"/>
  <c r="CB22" i="7"/>
  <c r="CA22" i="7"/>
  <c r="BZ22" i="7"/>
  <c r="BY22" i="7"/>
  <c r="BX22" i="7"/>
  <c r="BW22" i="7"/>
  <c r="BV22" i="7"/>
  <c r="BU22" i="7"/>
  <c r="BT22" i="7"/>
  <c r="BS22" i="7"/>
  <c r="BR22" i="7"/>
  <c r="BQ22" i="7"/>
  <c r="BP22" i="7"/>
  <c r="BO22" i="7"/>
  <c r="BM22" i="7"/>
  <c r="BL22" i="7"/>
  <c r="BK22" i="7"/>
  <c r="BJ22" i="7"/>
  <c r="BI22" i="7"/>
  <c r="BH22" i="7"/>
  <c r="BG22" i="7"/>
  <c r="BF22" i="7"/>
  <c r="BE22" i="7"/>
  <c r="BD22" i="7"/>
  <c r="BC22" i="7"/>
  <c r="BB22" i="7"/>
  <c r="BA22" i="7"/>
  <c r="AZ22" i="7"/>
  <c r="AY22" i="7"/>
  <c r="AX22" i="7"/>
  <c r="AW22" i="7"/>
  <c r="AV22" i="7"/>
  <c r="AU22" i="7"/>
  <c r="AT22" i="7"/>
  <c r="AS22" i="7"/>
  <c r="AR22" i="7"/>
  <c r="AQ22" i="7"/>
  <c r="AP22" i="7"/>
  <c r="AO22" i="7"/>
  <c r="AN22" i="7"/>
  <c r="AM22" i="7"/>
  <c r="AL22" i="7"/>
  <c r="AJ22" i="7"/>
  <c r="AI22" i="7"/>
  <c r="AH22" i="7"/>
  <c r="AG22" i="7"/>
  <c r="AF22" i="7"/>
  <c r="AE22" i="7"/>
  <c r="AD22" i="7"/>
  <c r="AC22" i="7"/>
  <c r="AB22" i="7"/>
  <c r="AA22" i="7"/>
  <c r="Z22" i="7"/>
  <c r="Y22" i="7"/>
  <c r="X22" i="7"/>
  <c r="W22" i="7"/>
  <c r="V22" i="7"/>
  <c r="U22" i="7"/>
  <c r="T22" i="7"/>
  <c r="S22" i="7"/>
  <c r="R22" i="7"/>
  <c r="Q22" i="7"/>
  <c r="P22" i="7"/>
  <c r="O22" i="7"/>
  <c r="N22" i="7"/>
  <c r="M22" i="7"/>
  <c r="L22" i="7"/>
  <c r="J22" i="7"/>
  <c r="F22" i="7"/>
  <c r="E22" i="7"/>
  <c r="ED21" i="7"/>
  <c r="EC21" i="7"/>
  <c r="EB21" i="7"/>
  <c r="EA21" i="7"/>
  <c r="DZ21" i="7"/>
  <c r="DY21" i="7"/>
  <c r="DX21" i="7"/>
  <c r="DW21" i="7"/>
  <c r="DV21" i="7"/>
  <c r="DU21" i="7"/>
  <c r="DT21" i="7"/>
  <c r="DS21" i="7"/>
  <c r="DR21" i="7"/>
  <c r="DQ21" i="7"/>
  <c r="DP21" i="7"/>
  <c r="DO21" i="7"/>
  <c r="DN21" i="7"/>
  <c r="DM21" i="7"/>
  <c r="DL21" i="7"/>
  <c r="DK21" i="7"/>
  <c r="DJ21" i="7"/>
  <c r="DI21" i="7"/>
  <c r="DH21" i="7"/>
  <c r="DG21" i="7"/>
  <c r="DF21" i="7"/>
  <c r="DE21" i="7"/>
  <c r="DD21" i="7"/>
  <c r="DC21" i="7"/>
  <c r="DB21" i="7"/>
  <c r="DA21" i="7"/>
  <c r="CZ21" i="7"/>
  <c r="CY21" i="7"/>
  <c r="CX21" i="7"/>
  <c r="CW21" i="7"/>
  <c r="CV21" i="7"/>
  <c r="CU21" i="7"/>
  <c r="CT21" i="7"/>
  <c r="CS21" i="7"/>
  <c r="CR21" i="7"/>
  <c r="CQ21" i="7"/>
  <c r="CP21" i="7"/>
  <c r="CO21" i="7"/>
  <c r="CN21" i="7"/>
  <c r="CM21" i="7"/>
  <c r="CL21" i="7"/>
  <c r="CK21" i="7"/>
  <c r="CJ21" i="7"/>
  <c r="CI21" i="7"/>
  <c r="CH21" i="7"/>
  <c r="CG21" i="7"/>
  <c r="CF21" i="7"/>
  <c r="CE21" i="7"/>
  <c r="CD21" i="7"/>
  <c r="CC21" i="7"/>
  <c r="CB21" i="7"/>
  <c r="CA21" i="7"/>
  <c r="BZ21" i="7"/>
  <c r="BY21" i="7"/>
  <c r="BX21" i="7"/>
  <c r="BW21" i="7"/>
  <c r="BV21" i="7"/>
  <c r="BU21" i="7"/>
  <c r="BT21" i="7"/>
  <c r="BS21" i="7"/>
  <c r="BR21" i="7"/>
  <c r="BQ21" i="7"/>
  <c r="BP21" i="7"/>
  <c r="BO21" i="7"/>
  <c r="BM21" i="7"/>
  <c r="BL21" i="7"/>
  <c r="BK21" i="7"/>
  <c r="BJ21" i="7"/>
  <c r="BI21" i="7"/>
  <c r="BH21" i="7"/>
  <c r="BG21" i="7"/>
  <c r="BF21" i="7"/>
  <c r="BE21" i="7"/>
  <c r="BD21" i="7"/>
  <c r="BC21" i="7"/>
  <c r="BB21" i="7"/>
  <c r="BA21" i="7"/>
  <c r="AZ21" i="7"/>
  <c r="AY21" i="7"/>
  <c r="AX21" i="7"/>
  <c r="AW21" i="7"/>
  <c r="AV21" i="7"/>
  <c r="AU21" i="7"/>
  <c r="AT21" i="7"/>
  <c r="AS21" i="7"/>
  <c r="AR21" i="7"/>
  <c r="AQ21" i="7"/>
  <c r="AP21" i="7"/>
  <c r="AO21" i="7"/>
  <c r="AN21" i="7"/>
  <c r="AM21" i="7"/>
  <c r="AL21" i="7"/>
  <c r="AJ21" i="7"/>
  <c r="AI21" i="7"/>
  <c r="AH21" i="7"/>
  <c r="AG21" i="7"/>
  <c r="AF21" i="7"/>
  <c r="AE21" i="7"/>
  <c r="AD21" i="7"/>
  <c r="AC21" i="7"/>
  <c r="AB21" i="7"/>
  <c r="AA21" i="7"/>
  <c r="Z21" i="7"/>
  <c r="Y21" i="7"/>
  <c r="X21" i="7"/>
  <c r="W21" i="7"/>
  <c r="V21" i="7"/>
  <c r="U21" i="7"/>
  <c r="T21" i="7"/>
  <c r="S21" i="7"/>
  <c r="R21" i="7"/>
  <c r="Q21" i="7"/>
  <c r="P21" i="7"/>
  <c r="O21" i="7"/>
  <c r="N21" i="7"/>
  <c r="M21" i="7"/>
  <c r="L21" i="7"/>
  <c r="J21" i="7"/>
  <c r="F21" i="7"/>
  <c r="E21" i="7"/>
  <c r="ED20" i="7"/>
  <c r="EC20" i="7"/>
  <c r="EB20" i="7"/>
  <c r="EA20" i="7"/>
  <c r="DZ20" i="7"/>
  <c r="DY20" i="7"/>
  <c r="DX20" i="7"/>
  <c r="DW20" i="7"/>
  <c r="DV20" i="7"/>
  <c r="DU20" i="7"/>
  <c r="DT20" i="7"/>
  <c r="DS20" i="7"/>
  <c r="DR20" i="7"/>
  <c r="DQ20" i="7"/>
  <c r="DP20" i="7"/>
  <c r="DO20" i="7"/>
  <c r="DN20" i="7"/>
  <c r="DM20" i="7"/>
  <c r="DL20" i="7"/>
  <c r="DK20" i="7"/>
  <c r="DJ20" i="7"/>
  <c r="DI20" i="7"/>
  <c r="DH20" i="7"/>
  <c r="DG20" i="7"/>
  <c r="DF20" i="7"/>
  <c r="DE20" i="7"/>
  <c r="DD20" i="7"/>
  <c r="DC20" i="7"/>
  <c r="DB20" i="7"/>
  <c r="DA20" i="7"/>
  <c r="CZ20" i="7"/>
  <c r="CY20" i="7"/>
  <c r="CX20" i="7"/>
  <c r="CW20" i="7"/>
  <c r="CV20" i="7"/>
  <c r="CU20" i="7"/>
  <c r="CT20" i="7"/>
  <c r="CS20" i="7"/>
  <c r="CR20" i="7"/>
  <c r="CQ20" i="7"/>
  <c r="CP20" i="7"/>
  <c r="CO20" i="7"/>
  <c r="CN20" i="7"/>
  <c r="CM20" i="7"/>
  <c r="CL20" i="7"/>
  <c r="CK20" i="7"/>
  <c r="CJ20" i="7"/>
  <c r="CI20" i="7"/>
  <c r="CH20" i="7"/>
  <c r="CG20" i="7"/>
  <c r="CF20" i="7"/>
  <c r="CE20" i="7"/>
  <c r="CD20" i="7"/>
  <c r="CC20" i="7"/>
  <c r="CB20" i="7"/>
  <c r="CA20" i="7"/>
  <c r="BZ20" i="7"/>
  <c r="BY20" i="7"/>
  <c r="BX20" i="7"/>
  <c r="BW20" i="7"/>
  <c r="BV20" i="7"/>
  <c r="BU20" i="7"/>
  <c r="BT20" i="7"/>
  <c r="BS20" i="7"/>
  <c r="BR20" i="7"/>
  <c r="BQ20" i="7"/>
  <c r="BP20" i="7"/>
  <c r="BO20" i="7"/>
  <c r="BM20" i="7"/>
  <c r="BL20" i="7"/>
  <c r="BK20" i="7"/>
  <c r="BJ20" i="7"/>
  <c r="BI20" i="7"/>
  <c r="BH20" i="7"/>
  <c r="BG20" i="7"/>
  <c r="BF20" i="7"/>
  <c r="BE20" i="7"/>
  <c r="BD20" i="7"/>
  <c r="BC20" i="7"/>
  <c r="BB20" i="7"/>
  <c r="BA20" i="7"/>
  <c r="AZ20" i="7"/>
  <c r="AY20" i="7"/>
  <c r="AX20" i="7"/>
  <c r="AW20" i="7"/>
  <c r="AV20" i="7"/>
  <c r="AU20" i="7"/>
  <c r="AT20" i="7"/>
  <c r="AS20" i="7"/>
  <c r="AR20" i="7"/>
  <c r="AQ20" i="7"/>
  <c r="AP20" i="7"/>
  <c r="AO20" i="7"/>
  <c r="AN20" i="7"/>
  <c r="AM20" i="7"/>
  <c r="AL20" i="7"/>
  <c r="AJ20" i="7"/>
  <c r="AI20" i="7"/>
  <c r="AH20" i="7"/>
  <c r="AG20" i="7"/>
  <c r="AF20" i="7"/>
  <c r="AE20" i="7"/>
  <c r="AD20" i="7"/>
  <c r="AC20" i="7"/>
  <c r="AB20" i="7"/>
  <c r="AA20" i="7"/>
  <c r="Z20" i="7"/>
  <c r="Y20" i="7"/>
  <c r="X20" i="7"/>
  <c r="W20" i="7"/>
  <c r="V20" i="7"/>
  <c r="U20" i="7"/>
  <c r="T20" i="7"/>
  <c r="S20" i="7"/>
  <c r="R20" i="7"/>
  <c r="Q20" i="7"/>
  <c r="P20" i="7"/>
  <c r="O20" i="7"/>
  <c r="N20" i="7"/>
  <c r="M20" i="7"/>
  <c r="L20" i="7"/>
  <c r="J20" i="7"/>
  <c r="F20" i="7"/>
  <c r="E20" i="7"/>
  <c r="ED19" i="7"/>
  <c r="EC19" i="7"/>
  <c r="EB19" i="7"/>
  <c r="EA19" i="7"/>
  <c r="DZ19" i="7"/>
  <c r="DY19" i="7"/>
  <c r="DX19" i="7"/>
  <c r="DW19" i="7"/>
  <c r="DV19" i="7"/>
  <c r="DU19" i="7"/>
  <c r="DT19" i="7"/>
  <c r="DS19" i="7"/>
  <c r="DR19" i="7"/>
  <c r="DQ19" i="7"/>
  <c r="DP19" i="7"/>
  <c r="DO19" i="7"/>
  <c r="DN19" i="7"/>
  <c r="DM19" i="7"/>
  <c r="DL19" i="7"/>
  <c r="DK19" i="7"/>
  <c r="DJ19" i="7"/>
  <c r="DI19" i="7"/>
  <c r="DH19" i="7"/>
  <c r="DG19" i="7"/>
  <c r="DF19" i="7"/>
  <c r="DE19" i="7"/>
  <c r="DD19" i="7"/>
  <c r="DC19" i="7"/>
  <c r="DB19" i="7"/>
  <c r="DA19" i="7"/>
  <c r="CZ19" i="7"/>
  <c r="CY19" i="7"/>
  <c r="CX19" i="7"/>
  <c r="CW19" i="7"/>
  <c r="CV19" i="7"/>
  <c r="CU19" i="7"/>
  <c r="CT19" i="7"/>
  <c r="CS19" i="7"/>
  <c r="CR19" i="7"/>
  <c r="CQ19" i="7"/>
  <c r="CP19" i="7"/>
  <c r="CO19" i="7"/>
  <c r="CN19" i="7"/>
  <c r="CM19" i="7"/>
  <c r="CL19" i="7"/>
  <c r="CK19" i="7"/>
  <c r="CJ19" i="7"/>
  <c r="CI19" i="7"/>
  <c r="CH19" i="7"/>
  <c r="CG19" i="7"/>
  <c r="CF19" i="7"/>
  <c r="CE19" i="7"/>
  <c r="CD19" i="7"/>
  <c r="CC19" i="7"/>
  <c r="CB19" i="7"/>
  <c r="CA19" i="7"/>
  <c r="BZ19" i="7"/>
  <c r="BY19" i="7"/>
  <c r="BX19" i="7"/>
  <c r="BW19" i="7"/>
  <c r="BV19" i="7"/>
  <c r="BU19" i="7"/>
  <c r="BT19" i="7"/>
  <c r="BS19" i="7"/>
  <c r="BR19" i="7"/>
  <c r="BQ19" i="7"/>
  <c r="BP19" i="7"/>
  <c r="BO19" i="7"/>
  <c r="BM19" i="7"/>
  <c r="BL19" i="7"/>
  <c r="BK19" i="7"/>
  <c r="BJ19" i="7"/>
  <c r="BI19" i="7"/>
  <c r="BH19" i="7"/>
  <c r="BG19" i="7"/>
  <c r="BF19" i="7"/>
  <c r="BE19" i="7"/>
  <c r="BD19" i="7"/>
  <c r="BC19" i="7"/>
  <c r="BB19" i="7"/>
  <c r="BA19" i="7"/>
  <c r="AZ19" i="7"/>
  <c r="AY19" i="7"/>
  <c r="AX19" i="7"/>
  <c r="AW19" i="7"/>
  <c r="AV19" i="7"/>
  <c r="AU19" i="7"/>
  <c r="AT19" i="7"/>
  <c r="AS19" i="7"/>
  <c r="AR19" i="7"/>
  <c r="AQ19" i="7"/>
  <c r="AP19" i="7"/>
  <c r="AO19" i="7"/>
  <c r="AN19" i="7"/>
  <c r="AM19" i="7"/>
  <c r="AL19" i="7"/>
  <c r="AJ19" i="7"/>
  <c r="AI19" i="7"/>
  <c r="AH19" i="7"/>
  <c r="AG19" i="7"/>
  <c r="AF19" i="7"/>
  <c r="AE19" i="7"/>
  <c r="AD19" i="7"/>
  <c r="AC19" i="7"/>
  <c r="AB19" i="7"/>
  <c r="AA19" i="7"/>
  <c r="Z19" i="7"/>
  <c r="Y19" i="7"/>
  <c r="X19" i="7"/>
  <c r="W19" i="7"/>
  <c r="V19" i="7"/>
  <c r="U19" i="7"/>
  <c r="T19" i="7"/>
  <c r="S19" i="7"/>
  <c r="R19" i="7"/>
  <c r="Q19" i="7"/>
  <c r="P19" i="7"/>
  <c r="O19" i="7"/>
  <c r="N19" i="7"/>
  <c r="M19" i="7"/>
  <c r="L19" i="7"/>
  <c r="J19" i="7"/>
  <c r="F19" i="7"/>
  <c r="E19" i="7"/>
  <c r="ED18" i="7"/>
  <c r="EC18" i="7"/>
  <c r="EB18" i="7"/>
  <c r="EA18" i="7"/>
  <c r="DZ18" i="7"/>
  <c r="DY18" i="7"/>
  <c r="DX18" i="7"/>
  <c r="DW18" i="7"/>
  <c r="DV18" i="7"/>
  <c r="DU18" i="7"/>
  <c r="DT18" i="7"/>
  <c r="DS18" i="7"/>
  <c r="DR18" i="7"/>
  <c r="DQ18" i="7"/>
  <c r="DP18" i="7"/>
  <c r="DO18" i="7"/>
  <c r="DN18" i="7"/>
  <c r="DM18" i="7"/>
  <c r="DL18" i="7"/>
  <c r="DK18" i="7"/>
  <c r="DJ18" i="7"/>
  <c r="DI18" i="7"/>
  <c r="DH18" i="7"/>
  <c r="DG18" i="7"/>
  <c r="DF18" i="7"/>
  <c r="DE18" i="7"/>
  <c r="DD18" i="7"/>
  <c r="DC18" i="7"/>
  <c r="DB18" i="7"/>
  <c r="DA18" i="7"/>
  <c r="CZ18" i="7"/>
  <c r="CY18" i="7"/>
  <c r="CX18" i="7"/>
  <c r="CW18" i="7"/>
  <c r="CV18" i="7"/>
  <c r="CU18" i="7"/>
  <c r="CT18" i="7"/>
  <c r="CS18" i="7"/>
  <c r="CR18" i="7"/>
  <c r="CQ18" i="7"/>
  <c r="CP18" i="7"/>
  <c r="CO18" i="7"/>
  <c r="CN18" i="7"/>
  <c r="CM18" i="7"/>
  <c r="CL18" i="7"/>
  <c r="CK18" i="7"/>
  <c r="CJ18" i="7"/>
  <c r="CI18" i="7"/>
  <c r="CH18" i="7"/>
  <c r="CG18" i="7"/>
  <c r="CF18" i="7"/>
  <c r="CE18" i="7"/>
  <c r="CD18" i="7"/>
  <c r="CC18" i="7"/>
  <c r="CB18" i="7"/>
  <c r="CA18" i="7"/>
  <c r="BZ18" i="7"/>
  <c r="BY18" i="7"/>
  <c r="BX18" i="7"/>
  <c r="BW18" i="7"/>
  <c r="BV18" i="7"/>
  <c r="BU18" i="7"/>
  <c r="BT18" i="7"/>
  <c r="BS18" i="7"/>
  <c r="BR18" i="7"/>
  <c r="BQ18" i="7"/>
  <c r="BP18" i="7"/>
  <c r="BO18" i="7"/>
  <c r="BM18" i="7"/>
  <c r="BL18" i="7"/>
  <c r="BK18" i="7"/>
  <c r="BJ18" i="7"/>
  <c r="BI18" i="7"/>
  <c r="BH18" i="7"/>
  <c r="BG18" i="7"/>
  <c r="BF18" i="7"/>
  <c r="BE18" i="7"/>
  <c r="BD18" i="7"/>
  <c r="BC18" i="7"/>
  <c r="BB18" i="7"/>
  <c r="BA18" i="7"/>
  <c r="AZ18" i="7"/>
  <c r="AY18" i="7"/>
  <c r="AX18" i="7"/>
  <c r="AW18" i="7"/>
  <c r="AV18" i="7"/>
  <c r="AU18" i="7"/>
  <c r="AT18" i="7"/>
  <c r="AS18" i="7"/>
  <c r="AR18" i="7"/>
  <c r="AQ18" i="7"/>
  <c r="AP18" i="7"/>
  <c r="AO18" i="7"/>
  <c r="AN18" i="7"/>
  <c r="AM18" i="7"/>
  <c r="AL18" i="7"/>
  <c r="AJ18" i="7"/>
  <c r="AI18" i="7"/>
  <c r="AH18" i="7"/>
  <c r="AG18" i="7"/>
  <c r="AF18" i="7"/>
  <c r="AE18" i="7"/>
  <c r="AD18" i="7"/>
  <c r="AC18" i="7"/>
  <c r="AB18" i="7"/>
  <c r="AA18" i="7"/>
  <c r="Z18" i="7"/>
  <c r="Y18" i="7"/>
  <c r="X18" i="7"/>
  <c r="W18" i="7"/>
  <c r="V18" i="7"/>
  <c r="U18" i="7"/>
  <c r="T18" i="7"/>
  <c r="S18" i="7"/>
  <c r="R18" i="7"/>
  <c r="Q18" i="7"/>
  <c r="P18" i="7"/>
  <c r="O18" i="7"/>
  <c r="N18" i="7"/>
  <c r="M18" i="7"/>
  <c r="L18" i="7"/>
  <c r="J18" i="7"/>
  <c r="G18" i="7"/>
  <c r="F18" i="7"/>
  <c r="E18" i="7"/>
  <c r="ED17" i="7"/>
  <c r="EC17" i="7"/>
  <c r="EB17" i="7"/>
  <c r="EA17" i="7"/>
  <c r="DZ17" i="7"/>
  <c r="DY17" i="7"/>
  <c r="DX17" i="7"/>
  <c r="DW17" i="7"/>
  <c r="DV17" i="7"/>
  <c r="DU17" i="7"/>
  <c r="DT17" i="7"/>
  <c r="DS17" i="7"/>
  <c r="DR17" i="7"/>
  <c r="DQ17" i="7"/>
  <c r="DP17" i="7"/>
  <c r="DO17" i="7"/>
  <c r="DN17" i="7"/>
  <c r="DM17" i="7"/>
  <c r="DL17" i="7"/>
  <c r="DK17" i="7"/>
  <c r="DJ17" i="7"/>
  <c r="DI17" i="7"/>
  <c r="DH17" i="7"/>
  <c r="DG17" i="7"/>
  <c r="DF17" i="7"/>
  <c r="DE17" i="7"/>
  <c r="DD17" i="7"/>
  <c r="DC17" i="7"/>
  <c r="DB17" i="7"/>
  <c r="DA17" i="7"/>
  <c r="CZ17" i="7"/>
  <c r="CY17" i="7"/>
  <c r="CX17" i="7"/>
  <c r="CW17" i="7"/>
  <c r="CV17" i="7"/>
  <c r="CU17" i="7"/>
  <c r="CT17" i="7"/>
  <c r="CS17" i="7"/>
  <c r="CR17" i="7"/>
  <c r="CQ17" i="7"/>
  <c r="CP17" i="7"/>
  <c r="CO17" i="7"/>
  <c r="CN17" i="7"/>
  <c r="CM17" i="7"/>
  <c r="CL17" i="7"/>
  <c r="CK17" i="7"/>
  <c r="CJ17" i="7"/>
  <c r="CI17" i="7"/>
  <c r="CH17" i="7"/>
  <c r="CG17" i="7"/>
  <c r="CF17" i="7"/>
  <c r="CE17" i="7"/>
  <c r="CD17" i="7"/>
  <c r="CC17" i="7"/>
  <c r="CB17" i="7"/>
  <c r="CA17" i="7"/>
  <c r="BZ17" i="7"/>
  <c r="BY17" i="7"/>
  <c r="BX17" i="7"/>
  <c r="BW17" i="7"/>
  <c r="BV17" i="7"/>
  <c r="BU17" i="7"/>
  <c r="BT17" i="7"/>
  <c r="BS17" i="7"/>
  <c r="BR17" i="7"/>
  <c r="BQ17" i="7"/>
  <c r="BP17" i="7"/>
  <c r="BO17" i="7"/>
  <c r="BM17" i="7"/>
  <c r="BL17" i="7"/>
  <c r="BK17" i="7"/>
  <c r="BJ17" i="7"/>
  <c r="BI17" i="7"/>
  <c r="BH17" i="7"/>
  <c r="BG17" i="7"/>
  <c r="BF17" i="7"/>
  <c r="BE17" i="7"/>
  <c r="BD17" i="7"/>
  <c r="BC17" i="7"/>
  <c r="BB17" i="7"/>
  <c r="BA17" i="7"/>
  <c r="AZ17" i="7"/>
  <c r="AY17" i="7"/>
  <c r="AX17" i="7"/>
  <c r="AW17" i="7"/>
  <c r="AV17" i="7"/>
  <c r="AU17" i="7"/>
  <c r="AT17" i="7"/>
  <c r="AS17" i="7"/>
  <c r="AR17" i="7"/>
  <c r="AQ17" i="7"/>
  <c r="AP17" i="7"/>
  <c r="AO17" i="7"/>
  <c r="AN17" i="7"/>
  <c r="AM17" i="7"/>
  <c r="AL17" i="7"/>
  <c r="AJ17" i="7"/>
  <c r="AI17" i="7"/>
  <c r="AH17" i="7"/>
  <c r="AG17" i="7"/>
  <c r="AF17" i="7"/>
  <c r="AE17" i="7"/>
  <c r="AD17" i="7"/>
  <c r="AC17" i="7"/>
  <c r="AB17" i="7"/>
  <c r="AA17" i="7"/>
  <c r="Z17" i="7"/>
  <c r="Y17" i="7"/>
  <c r="X17" i="7"/>
  <c r="W17" i="7"/>
  <c r="V17" i="7"/>
  <c r="U17" i="7"/>
  <c r="T17" i="7"/>
  <c r="S17" i="7"/>
  <c r="R17" i="7"/>
  <c r="Q17" i="7"/>
  <c r="P17" i="7"/>
  <c r="O17" i="7"/>
  <c r="N17" i="7"/>
  <c r="M17" i="7"/>
  <c r="L17" i="7"/>
  <c r="J17" i="7"/>
  <c r="F17" i="7"/>
  <c r="E17" i="7"/>
  <c r="ED16" i="7"/>
  <c r="EC16" i="7"/>
  <c r="EB16" i="7"/>
  <c r="EA16" i="7"/>
  <c r="DZ16" i="7"/>
  <c r="DY16" i="7"/>
  <c r="DX16" i="7"/>
  <c r="DW16" i="7"/>
  <c r="DV16" i="7"/>
  <c r="DU16" i="7"/>
  <c r="DT16" i="7"/>
  <c r="DS16" i="7"/>
  <c r="DR16" i="7"/>
  <c r="DQ16" i="7"/>
  <c r="DP16" i="7"/>
  <c r="DO16" i="7"/>
  <c r="DN16" i="7"/>
  <c r="DM16" i="7"/>
  <c r="DL16" i="7"/>
  <c r="DK16" i="7"/>
  <c r="DJ16" i="7"/>
  <c r="DI16" i="7"/>
  <c r="DH16" i="7"/>
  <c r="DG16" i="7"/>
  <c r="DF16" i="7"/>
  <c r="DE16" i="7"/>
  <c r="DD16" i="7"/>
  <c r="DC16" i="7"/>
  <c r="DB16" i="7"/>
  <c r="DA16" i="7"/>
  <c r="CZ16" i="7"/>
  <c r="CY16" i="7"/>
  <c r="CX16" i="7"/>
  <c r="CW16" i="7"/>
  <c r="CV16" i="7"/>
  <c r="CU16" i="7"/>
  <c r="CT16" i="7"/>
  <c r="CS16" i="7"/>
  <c r="CR16" i="7"/>
  <c r="CQ16" i="7"/>
  <c r="CP16" i="7"/>
  <c r="CO16" i="7"/>
  <c r="CN16" i="7"/>
  <c r="CM16" i="7"/>
  <c r="CL16" i="7"/>
  <c r="CK16" i="7"/>
  <c r="CJ16" i="7"/>
  <c r="CI16" i="7"/>
  <c r="CH16" i="7"/>
  <c r="CG16" i="7"/>
  <c r="CF16" i="7"/>
  <c r="CE16" i="7"/>
  <c r="CD16" i="7"/>
  <c r="CC16" i="7"/>
  <c r="CB16" i="7"/>
  <c r="CA16" i="7"/>
  <c r="BZ16" i="7"/>
  <c r="BY16" i="7"/>
  <c r="BX16" i="7"/>
  <c r="BW16" i="7"/>
  <c r="BV16" i="7"/>
  <c r="BU16" i="7"/>
  <c r="BT16" i="7"/>
  <c r="BS16" i="7"/>
  <c r="BR16" i="7"/>
  <c r="BQ16" i="7"/>
  <c r="BP16" i="7"/>
  <c r="BO16" i="7"/>
  <c r="BM16" i="7"/>
  <c r="BL16" i="7"/>
  <c r="BK16" i="7"/>
  <c r="BJ16" i="7"/>
  <c r="BI16" i="7"/>
  <c r="BH16" i="7"/>
  <c r="BG16" i="7"/>
  <c r="BF16" i="7"/>
  <c r="BE16" i="7"/>
  <c r="BD16" i="7"/>
  <c r="BC16" i="7"/>
  <c r="BB16" i="7"/>
  <c r="BA16" i="7"/>
  <c r="AZ16" i="7"/>
  <c r="AY16" i="7"/>
  <c r="AX16" i="7"/>
  <c r="AW16" i="7"/>
  <c r="AV16" i="7"/>
  <c r="AU16" i="7"/>
  <c r="AT16" i="7"/>
  <c r="AS16" i="7"/>
  <c r="AR16" i="7"/>
  <c r="AQ16" i="7"/>
  <c r="AP16" i="7"/>
  <c r="AO16" i="7"/>
  <c r="AN16" i="7"/>
  <c r="AM16" i="7"/>
  <c r="AL16" i="7"/>
  <c r="AJ16" i="7"/>
  <c r="AI16" i="7"/>
  <c r="AH16" i="7"/>
  <c r="AG16" i="7"/>
  <c r="AF16" i="7"/>
  <c r="AE16" i="7"/>
  <c r="AD16" i="7"/>
  <c r="AC16" i="7"/>
  <c r="AB16" i="7"/>
  <c r="AA16" i="7"/>
  <c r="Z16" i="7"/>
  <c r="Y16" i="7"/>
  <c r="X16" i="7"/>
  <c r="W16" i="7"/>
  <c r="V16" i="7"/>
  <c r="U16" i="7"/>
  <c r="T16" i="7"/>
  <c r="S16" i="7"/>
  <c r="R16" i="7"/>
  <c r="Q16" i="7"/>
  <c r="P16" i="7"/>
  <c r="O16" i="7"/>
  <c r="N16" i="7"/>
  <c r="M16" i="7"/>
  <c r="L16" i="7"/>
  <c r="J16" i="7"/>
  <c r="F16" i="7"/>
  <c r="E16" i="7"/>
  <c r="ED15" i="7"/>
  <c r="EC15" i="7"/>
  <c r="EB15" i="7"/>
  <c r="EA15" i="7"/>
  <c r="DZ15" i="7"/>
  <c r="DY15" i="7"/>
  <c r="DX15" i="7"/>
  <c r="DW15" i="7"/>
  <c r="DV15" i="7"/>
  <c r="DU15" i="7"/>
  <c r="DT15" i="7"/>
  <c r="DS15" i="7"/>
  <c r="DR15" i="7"/>
  <c r="DQ15" i="7"/>
  <c r="DP15" i="7"/>
  <c r="DO15" i="7"/>
  <c r="DN15" i="7"/>
  <c r="DM15" i="7"/>
  <c r="DL15" i="7"/>
  <c r="DK15" i="7"/>
  <c r="DJ15" i="7"/>
  <c r="DI15" i="7"/>
  <c r="DH15" i="7"/>
  <c r="DG15" i="7"/>
  <c r="DF15" i="7"/>
  <c r="DE15" i="7"/>
  <c r="DD15" i="7"/>
  <c r="DC15" i="7"/>
  <c r="DB15" i="7"/>
  <c r="DA15" i="7"/>
  <c r="CZ15" i="7"/>
  <c r="CY15" i="7"/>
  <c r="CX15" i="7"/>
  <c r="CW15" i="7"/>
  <c r="CV15" i="7"/>
  <c r="CU15" i="7"/>
  <c r="CT15" i="7"/>
  <c r="CS15" i="7"/>
  <c r="CR15" i="7"/>
  <c r="CQ15" i="7"/>
  <c r="CP15" i="7"/>
  <c r="CO15" i="7"/>
  <c r="CN15" i="7"/>
  <c r="CM15" i="7"/>
  <c r="CL15" i="7"/>
  <c r="CK15" i="7"/>
  <c r="CJ15" i="7"/>
  <c r="CI15" i="7"/>
  <c r="CH15" i="7"/>
  <c r="CG15" i="7"/>
  <c r="CF15" i="7"/>
  <c r="CE15" i="7"/>
  <c r="CD15" i="7"/>
  <c r="CC15" i="7"/>
  <c r="CB15" i="7"/>
  <c r="CA15" i="7"/>
  <c r="BZ15" i="7"/>
  <c r="BY15" i="7"/>
  <c r="BX15" i="7"/>
  <c r="BW15" i="7"/>
  <c r="BV15" i="7"/>
  <c r="BU15" i="7"/>
  <c r="BT15" i="7"/>
  <c r="BS15" i="7"/>
  <c r="BR15" i="7"/>
  <c r="BQ15" i="7"/>
  <c r="BP15" i="7"/>
  <c r="BO15" i="7"/>
  <c r="BM15" i="7"/>
  <c r="BL15" i="7"/>
  <c r="BK15" i="7"/>
  <c r="BJ15" i="7"/>
  <c r="BI15" i="7"/>
  <c r="BH15" i="7"/>
  <c r="BG15" i="7"/>
  <c r="BF15" i="7"/>
  <c r="BE15" i="7"/>
  <c r="BD15" i="7"/>
  <c r="BC15" i="7"/>
  <c r="BB15" i="7"/>
  <c r="BA15" i="7"/>
  <c r="AZ15" i="7"/>
  <c r="AY15" i="7"/>
  <c r="AX15" i="7"/>
  <c r="AW15" i="7"/>
  <c r="AV15" i="7"/>
  <c r="AU15" i="7"/>
  <c r="AT15" i="7"/>
  <c r="AS15" i="7"/>
  <c r="AR15" i="7"/>
  <c r="AQ15" i="7"/>
  <c r="AP15" i="7"/>
  <c r="AO15" i="7"/>
  <c r="AN15" i="7"/>
  <c r="AM15" i="7"/>
  <c r="AL15" i="7"/>
  <c r="AJ15" i="7"/>
  <c r="AI15" i="7"/>
  <c r="AH15" i="7"/>
  <c r="AG15" i="7"/>
  <c r="AF15" i="7"/>
  <c r="AE15" i="7"/>
  <c r="AD15" i="7"/>
  <c r="AC15" i="7"/>
  <c r="AB15" i="7"/>
  <c r="AA15" i="7"/>
  <c r="Z15" i="7"/>
  <c r="Y15" i="7"/>
  <c r="X15" i="7"/>
  <c r="W15" i="7"/>
  <c r="V15" i="7"/>
  <c r="U15" i="7"/>
  <c r="T15" i="7"/>
  <c r="S15" i="7"/>
  <c r="R15" i="7"/>
  <c r="Q15" i="7"/>
  <c r="P15" i="7"/>
  <c r="O15" i="7"/>
  <c r="N15" i="7"/>
  <c r="M15" i="7"/>
  <c r="L15" i="7"/>
  <c r="J15" i="7"/>
  <c r="G15" i="7"/>
  <c r="F15" i="7"/>
  <c r="E15" i="7"/>
  <c r="ED14" i="7"/>
  <c r="EC14" i="7"/>
  <c r="EB14" i="7"/>
  <c r="EA14" i="7"/>
  <c r="DZ14" i="7"/>
  <c r="DY14" i="7"/>
  <c r="DX14" i="7"/>
  <c r="DW14" i="7"/>
  <c r="DV14" i="7"/>
  <c r="DU14" i="7"/>
  <c r="DT14" i="7"/>
  <c r="DS14" i="7"/>
  <c r="DR14" i="7"/>
  <c r="DQ14" i="7"/>
  <c r="DP14" i="7"/>
  <c r="DO14" i="7"/>
  <c r="DN14" i="7"/>
  <c r="DM14" i="7"/>
  <c r="DL14" i="7"/>
  <c r="DK14" i="7"/>
  <c r="DJ14" i="7"/>
  <c r="DI14" i="7"/>
  <c r="DH14" i="7"/>
  <c r="DG14" i="7"/>
  <c r="DF14" i="7"/>
  <c r="DE14" i="7"/>
  <c r="DD14" i="7"/>
  <c r="DC14" i="7"/>
  <c r="DB14" i="7"/>
  <c r="DA14" i="7"/>
  <c r="CZ14" i="7"/>
  <c r="CY14" i="7"/>
  <c r="CX14" i="7"/>
  <c r="CW14" i="7"/>
  <c r="CV14" i="7"/>
  <c r="CU14" i="7"/>
  <c r="CT14" i="7"/>
  <c r="CS14" i="7"/>
  <c r="CR14" i="7"/>
  <c r="CQ14" i="7"/>
  <c r="CP14" i="7"/>
  <c r="CO14" i="7"/>
  <c r="CN14" i="7"/>
  <c r="CM14" i="7"/>
  <c r="CL14" i="7"/>
  <c r="CK14" i="7"/>
  <c r="CJ14" i="7"/>
  <c r="CI14" i="7"/>
  <c r="CH14" i="7"/>
  <c r="CG14" i="7"/>
  <c r="CF14" i="7"/>
  <c r="CE14" i="7"/>
  <c r="CD14" i="7"/>
  <c r="CC14" i="7"/>
  <c r="CB14" i="7"/>
  <c r="CA14" i="7"/>
  <c r="BZ14" i="7"/>
  <c r="BY14" i="7"/>
  <c r="BX14" i="7"/>
  <c r="BW14" i="7"/>
  <c r="BV14" i="7"/>
  <c r="BU14" i="7"/>
  <c r="BT14" i="7"/>
  <c r="BS14" i="7"/>
  <c r="BR14" i="7"/>
  <c r="BQ14" i="7"/>
  <c r="BP14" i="7"/>
  <c r="BO14" i="7"/>
  <c r="BM14" i="7"/>
  <c r="BL14" i="7"/>
  <c r="BK14" i="7"/>
  <c r="BJ14" i="7"/>
  <c r="BI14" i="7"/>
  <c r="BH14" i="7"/>
  <c r="BG14" i="7"/>
  <c r="BF14" i="7"/>
  <c r="BE14" i="7"/>
  <c r="BD14" i="7"/>
  <c r="BC14" i="7"/>
  <c r="BB14" i="7"/>
  <c r="BA14" i="7"/>
  <c r="AZ14" i="7"/>
  <c r="AY14" i="7"/>
  <c r="AX14" i="7"/>
  <c r="AW14" i="7"/>
  <c r="AV14" i="7"/>
  <c r="AU14" i="7"/>
  <c r="AT14" i="7"/>
  <c r="AS14" i="7"/>
  <c r="AR14" i="7"/>
  <c r="AQ14" i="7"/>
  <c r="AP14" i="7"/>
  <c r="AO14" i="7"/>
  <c r="AN14" i="7"/>
  <c r="AM14" i="7"/>
  <c r="AL14" i="7"/>
  <c r="AJ14" i="7"/>
  <c r="AI14" i="7"/>
  <c r="AH14" i="7"/>
  <c r="AG14" i="7"/>
  <c r="AF14" i="7"/>
  <c r="AE14" i="7"/>
  <c r="AD14" i="7"/>
  <c r="AC14" i="7"/>
  <c r="AB14" i="7"/>
  <c r="AA14" i="7"/>
  <c r="Z14" i="7"/>
  <c r="Y14" i="7"/>
  <c r="X14" i="7"/>
  <c r="W14" i="7"/>
  <c r="V14" i="7"/>
  <c r="U14" i="7"/>
  <c r="T14" i="7"/>
  <c r="S14" i="7"/>
  <c r="R14" i="7"/>
  <c r="Q14" i="7"/>
  <c r="P14" i="7"/>
  <c r="O14" i="7"/>
  <c r="N14" i="7"/>
  <c r="M14" i="7"/>
  <c r="L14" i="7"/>
  <c r="J14" i="7"/>
  <c r="F14" i="7"/>
  <c r="E14" i="7"/>
  <c r="ED13" i="7"/>
  <c r="EC13" i="7"/>
  <c r="EB13" i="7"/>
  <c r="EA13" i="7"/>
  <c r="DZ13" i="7"/>
  <c r="DY13" i="7"/>
  <c r="DX13" i="7"/>
  <c r="DW13" i="7"/>
  <c r="DV13" i="7"/>
  <c r="DU13" i="7"/>
  <c r="DT13" i="7"/>
  <c r="DS13" i="7"/>
  <c r="DR13" i="7"/>
  <c r="DQ13" i="7"/>
  <c r="DP13" i="7"/>
  <c r="DO13" i="7"/>
  <c r="DN13" i="7"/>
  <c r="DM13" i="7"/>
  <c r="DL13" i="7"/>
  <c r="DK13" i="7"/>
  <c r="DJ13" i="7"/>
  <c r="DI13" i="7"/>
  <c r="DH13" i="7"/>
  <c r="DG13" i="7"/>
  <c r="DF13" i="7"/>
  <c r="DE13" i="7"/>
  <c r="DD13" i="7"/>
  <c r="DC13" i="7"/>
  <c r="DB13" i="7"/>
  <c r="DA13" i="7"/>
  <c r="CZ13" i="7"/>
  <c r="CY13" i="7"/>
  <c r="CX13" i="7"/>
  <c r="CW13" i="7"/>
  <c r="CV13" i="7"/>
  <c r="CU13" i="7"/>
  <c r="CT13" i="7"/>
  <c r="CS13" i="7"/>
  <c r="CR13" i="7"/>
  <c r="CQ13" i="7"/>
  <c r="CP13" i="7"/>
  <c r="CO13" i="7"/>
  <c r="CN13" i="7"/>
  <c r="CM13" i="7"/>
  <c r="CL13" i="7"/>
  <c r="CK13" i="7"/>
  <c r="CJ13" i="7"/>
  <c r="CI13" i="7"/>
  <c r="CH13" i="7"/>
  <c r="CG13" i="7"/>
  <c r="CF13" i="7"/>
  <c r="CE13" i="7"/>
  <c r="CD13" i="7"/>
  <c r="CC13" i="7"/>
  <c r="CB13" i="7"/>
  <c r="CA13" i="7"/>
  <c r="BZ13" i="7"/>
  <c r="BY13" i="7"/>
  <c r="BX13" i="7"/>
  <c r="BW13" i="7"/>
  <c r="BV13" i="7"/>
  <c r="BU13" i="7"/>
  <c r="BT13" i="7"/>
  <c r="BS13" i="7"/>
  <c r="BR13" i="7"/>
  <c r="BQ13" i="7"/>
  <c r="BP13" i="7"/>
  <c r="BO13" i="7"/>
  <c r="BM13" i="7"/>
  <c r="BL13" i="7"/>
  <c r="BK13" i="7"/>
  <c r="BJ13" i="7"/>
  <c r="BI13" i="7"/>
  <c r="BH13" i="7"/>
  <c r="BG13" i="7"/>
  <c r="BF13" i="7"/>
  <c r="BE13" i="7"/>
  <c r="BD13" i="7"/>
  <c r="BC13" i="7"/>
  <c r="BB13" i="7"/>
  <c r="BA13" i="7"/>
  <c r="AZ13" i="7"/>
  <c r="AY13" i="7"/>
  <c r="AX13" i="7"/>
  <c r="AW13" i="7"/>
  <c r="AV13" i="7"/>
  <c r="AU13" i="7"/>
  <c r="AT13" i="7"/>
  <c r="AS13" i="7"/>
  <c r="AR13" i="7"/>
  <c r="AQ13" i="7"/>
  <c r="AP13" i="7"/>
  <c r="AO13" i="7"/>
  <c r="AN13" i="7"/>
  <c r="AM13" i="7"/>
  <c r="AL13" i="7"/>
  <c r="AJ13" i="7"/>
  <c r="AI13" i="7"/>
  <c r="AH13" i="7"/>
  <c r="AG13" i="7"/>
  <c r="AF13" i="7"/>
  <c r="AE13" i="7"/>
  <c r="AD13" i="7"/>
  <c r="AC13" i="7"/>
  <c r="AB13" i="7"/>
  <c r="AA13" i="7"/>
  <c r="Z13" i="7"/>
  <c r="Y13" i="7"/>
  <c r="X13" i="7"/>
  <c r="W13" i="7"/>
  <c r="V13" i="7"/>
  <c r="U13" i="7"/>
  <c r="T13" i="7"/>
  <c r="S13" i="7"/>
  <c r="R13" i="7"/>
  <c r="Q13" i="7"/>
  <c r="P13" i="7"/>
  <c r="O13" i="7"/>
  <c r="N13" i="7"/>
  <c r="M13" i="7"/>
  <c r="L13" i="7"/>
  <c r="F13" i="7"/>
  <c r="E13" i="7"/>
  <c r="D13" i="7"/>
  <c r="C13" i="7"/>
  <c r="ED12" i="7"/>
  <c r="EC12" i="7"/>
  <c r="EB12" i="7"/>
  <c r="EA12" i="7"/>
  <c r="DZ12" i="7"/>
  <c r="DY12" i="7"/>
  <c r="DX12" i="7"/>
  <c r="DW12" i="7"/>
  <c r="DV12" i="7"/>
  <c r="DU12" i="7"/>
  <c r="DT12" i="7"/>
  <c r="DS12" i="7"/>
  <c r="DR12" i="7"/>
  <c r="DQ12" i="7"/>
  <c r="DP12" i="7"/>
  <c r="DO12" i="7"/>
  <c r="DN12" i="7"/>
  <c r="DM12" i="7"/>
  <c r="DL12" i="7"/>
  <c r="DK12" i="7"/>
  <c r="DJ12" i="7"/>
  <c r="DI12" i="7"/>
  <c r="DH12" i="7"/>
  <c r="DG12" i="7"/>
  <c r="DF12" i="7"/>
  <c r="DE12" i="7"/>
  <c r="DD12" i="7"/>
  <c r="DC12" i="7"/>
  <c r="DB12" i="7"/>
  <c r="DA12" i="7"/>
  <c r="CZ12" i="7"/>
  <c r="CY12" i="7"/>
  <c r="CX12" i="7"/>
  <c r="CW12" i="7"/>
  <c r="CV12" i="7"/>
  <c r="CU12" i="7"/>
  <c r="CT12" i="7"/>
  <c r="CS12" i="7"/>
  <c r="CR12" i="7"/>
  <c r="CQ12" i="7"/>
  <c r="CP12" i="7"/>
  <c r="CO12" i="7"/>
  <c r="CN12" i="7"/>
  <c r="CM12" i="7"/>
  <c r="CL12" i="7"/>
  <c r="CK12" i="7"/>
  <c r="CJ12" i="7"/>
  <c r="CI12" i="7"/>
  <c r="CH12" i="7"/>
  <c r="CG12" i="7"/>
  <c r="CF12" i="7"/>
  <c r="CE12" i="7"/>
  <c r="CD12" i="7"/>
  <c r="CC12" i="7"/>
  <c r="CB12" i="7"/>
  <c r="CA12" i="7"/>
  <c r="BZ12" i="7"/>
  <c r="BY12" i="7"/>
  <c r="BX12" i="7"/>
  <c r="BW12" i="7"/>
  <c r="BV12" i="7"/>
  <c r="BU12" i="7"/>
  <c r="BT12" i="7"/>
  <c r="BS12" i="7"/>
  <c r="BR12" i="7"/>
  <c r="BQ12" i="7"/>
  <c r="BP12" i="7"/>
  <c r="BO12" i="7"/>
  <c r="BM12" i="7"/>
  <c r="BL12" i="7"/>
  <c r="BK12" i="7"/>
  <c r="BJ12" i="7"/>
  <c r="BI12" i="7"/>
  <c r="BH12" i="7"/>
  <c r="BG12" i="7"/>
  <c r="BF12" i="7"/>
  <c r="BE12" i="7"/>
  <c r="BD12" i="7"/>
  <c r="BC12" i="7"/>
  <c r="BB12" i="7"/>
  <c r="BA12" i="7"/>
  <c r="AZ12" i="7"/>
  <c r="AY12" i="7"/>
  <c r="AX12" i="7"/>
  <c r="AW12" i="7"/>
  <c r="AV12" i="7"/>
  <c r="AU12" i="7"/>
  <c r="AT12" i="7"/>
  <c r="AS12" i="7"/>
  <c r="AR12" i="7"/>
  <c r="AQ12" i="7"/>
  <c r="AP12" i="7"/>
  <c r="AO12" i="7"/>
  <c r="AN12" i="7"/>
  <c r="AM12" i="7"/>
  <c r="AL12" i="7"/>
  <c r="AJ12" i="7"/>
  <c r="AI12" i="7"/>
  <c r="AH12" i="7"/>
  <c r="AG12" i="7"/>
  <c r="AF12" i="7"/>
  <c r="AE12" i="7"/>
  <c r="AD12" i="7"/>
  <c r="AC12" i="7"/>
  <c r="AB12" i="7"/>
  <c r="AA12" i="7"/>
  <c r="Z12" i="7"/>
  <c r="Y12" i="7"/>
  <c r="X12" i="7"/>
  <c r="W12" i="7"/>
  <c r="V12" i="7"/>
  <c r="U12" i="7"/>
  <c r="T12" i="7"/>
  <c r="S12" i="7"/>
  <c r="R12" i="7"/>
  <c r="Q12" i="7"/>
  <c r="P12" i="7"/>
  <c r="O12" i="7"/>
  <c r="N12" i="7"/>
  <c r="M12" i="7"/>
  <c r="L12" i="7"/>
  <c r="F12" i="7"/>
  <c r="E12" i="7"/>
  <c r="D12" i="7"/>
  <c r="C12" i="7"/>
  <c r="ED11" i="7"/>
  <c r="EC11" i="7"/>
  <c r="EB11" i="7"/>
  <c r="EA11" i="7"/>
  <c r="DZ11" i="7"/>
  <c r="DY11" i="7"/>
  <c r="DX11" i="7"/>
  <c r="DW11" i="7"/>
  <c r="DV11" i="7"/>
  <c r="DU11" i="7"/>
  <c r="DT11" i="7"/>
  <c r="DS11" i="7"/>
  <c r="DR11" i="7"/>
  <c r="DQ11" i="7"/>
  <c r="DP11" i="7"/>
  <c r="DO11" i="7"/>
  <c r="DN11" i="7"/>
  <c r="DM11" i="7"/>
  <c r="DL11" i="7"/>
  <c r="DK11" i="7"/>
  <c r="DJ11" i="7"/>
  <c r="DI11" i="7"/>
  <c r="DH11" i="7"/>
  <c r="DG11" i="7"/>
  <c r="DF11" i="7"/>
  <c r="DE11" i="7"/>
  <c r="DD11" i="7"/>
  <c r="DC11" i="7"/>
  <c r="DB11" i="7"/>
  <c r="DA11" i="7"/>
  <c r="CZ11" i="7"/>
  <c r="CY11" i="7"/>
  <c r="CX11" i="7"/>
  <c r="CW11" i="7"/>
  <c r="CV11" i="7"/>
  <c r="CU11" i="7"/>
  <c r="CT11" i="7"/>
  <c r="CS11" i="7"/>
  <c r="CR11" i="7"/>
  <c r="CQ11" i="7"/>
  <c r="CP11" i="7"/>
  <c r="CO11" i="7"/>
  <c r="CN11" i="7"/>
  <c r="CM11" i="7"/>
  <c r="CL11" i="7"/>
  <c r="CK11" i="7"/>
  <c r="CJ11" i="7"/>
  <c r="CI11" i="7"/>
  <c r="CH11" i="7"/>
  <c r="CG11" i="7"/>
  <c r="CF11" i="7"/>
  <c r="CE11" i="7"/>
  <c r="CD11" i="7"/>
  <c r="CC11" i="7"/>
  <c r="CB11" i="7"/>
  <c r="CA11" i="7"/>
  <c r="BZ11" i="7"/>
  <c r="BY11" i="7"/>
  <c r="BX11" i="7"/>
  <c r="BW11" i="7"/>
  <c r="BV11" i="7"/>
  <c r="BU11" i="7"/>
  <c r="BT11" i="7"/>
  <c r="BS11" i="7"/>
  <c r="BR11" i="7"/>
  <c r="BQ11" i="7"/>
  <c r="BP11" i="7"/>
  <c r="BO11" i="7"/>
  <c r="BM11" i="7"/>
  <c r="BL11" i="7"/>
  <c r="BK11" i="7"/>
  <c r="BJ11" i="7"/>
  <c r="BI11" i="7"/>
  <c r="BH11" i="7"/>
  <c r="BG11" i="7"/>
  <c r="BF11" i="7"/>
  <c r="BE11" i="7"/>
  <c r="BD11" i="7"/>
  <c r="BC11" i="7"/>
  <c r="BB11" i="7"/>
  <c r="BA11" i="7"/>
  <c r="AZ11" i="7"/>
  <c r="AY11" i="7"/>
  <c r="AX11" i="7"/>
  <c r="AW11" i="7"/>
  <c r="AV11" i="7"/>
  <c r="AU11" i="7"/>
  <c r="AT11" i="7"/>
  <c r="AS11" i="7"/>
  <c r="AR11" i="7"/>
  <c r="AQ11" i="7"/>
  <c r="AP11" i="7"/>
  <c r="AO11" i="7"/>
  <c r="AN11" i="7"/>
  <c r="AM11" i="7"/>
  <c r="AL11" i="7"/>
  <c r="AJ11" i="7"/>
  <c r="AI11" i="7"/>
  <c r="AH11" i="7"/>
  <c r="AG11" i="7"/>
  <c r="AF11" i="7"/>
  <c r="AE11" i="7"/>
  <c r="AD11" i="7"/>
  <c r="AC11" i="7"/>
  <c r="AB11" i="7"/>
  <c r="AA11" i="7"/>
  <c r="Z11" i="7"/>
  <c r="Y11" i="7"/>
  <c r="X11" i="7"/>
  <c r="W11" i="7"/>
  <c r="V11" i="7"/>
  <c r="U11" i="7"/>
  <c r="T11" i="7"/>
  <c r="S11" i="7"/>
  <c r="R11" i="7"/>
  <c r="Q11" i="7"/>
  <c r="P11" i="7"/>
  <c r="O11" i="7"/>
  <c r="N11" i="7"/>
  <c r="M11" i="7"/>
  <c r="L11" i="7"/>
  <c r="J11" i="7"/>
  <c r="G11" i="7"/>
  <c r="F11" i="7"/>
  <c r="E11" i="7"/>
  <c r="D11" i="7"/>
  <c r="C11" i="7"/>
  <c r="ED10" i="7"/>
  <c r="EC10" i="7"/>
  <c r="EB10" i="7"/>
  <c r="EA10" i="7"/>
  <c r="DZ10" i="7"/>
  <c r="DY10" i="7"/>
  <c r="DX10" i="7"/>
  <c r="DW10" i="7"/>
  <c r="DV10" i="7"/>
  <c r="DU10" i="7"/>
  <c r="DT10" i="7"/>
  <c r="DS10" i="7"/>
  <c r="DR10" i="7"/>
  <c r="DQ10" i="7"/>
  <c r="DP10" i="7"/>
  <c r="DO10" i="7"/>
  <c r="DN10" i="7"/>
  <c r="DM10" i="7"/>
  <c r="DL10" i="7"/>
  <c r="DK10" i="7"/>
  <c r="DJ10" i="7"/>
  <c r="DI10" i="7"/>
  <c r="DH10" i="7"/>
  <c r="DG10" i="7"/>
  <c r="DF10" i="7"/>
  <c r="DE10" i="7"/>
  <c r="DD10" i="7"/>
  <c r="DC10" i="7"/>
  <c r="DB10" i="7"/>
  <c r="DA10" i="7"/>
  <c r="CZ10" i="7"/>
  <c r="CY10" i="7"/>
  <c r="CX10" i="7"/>
  <c r="CW10" i="7"/>
  <c r="CV10" i="7"/>
  <c r="CU10" i="7"/>
  <c r="CT10" i="7"/>
  <c r="CS10" i="7"/>
  <c r="CR10" i="7"/>
  <c r="CQ10" i="7"/>
  <c r="CP10" i="7"/>
  <c r="CO10" i="7"/>
  <c r="CN10" i="7"/>
  <c r="CM10" i="7"/>
  <c r="CL10" i="7"/>
  <c r="CK10" i="7"/>
  <c r="CJ10" i="7"/>
  <c r="CI10" i="7"/>
  <c r="CH10" i="7"/>
  <c r="CG10" i="7"/>
  <c r="CF10" i="7"/>
  <c r="CE10" i="7"/>
  <c r="CD10" i="7"/>
  <c r="CC10" i="7"/>
  <c r="CB10" i="7"/>
  <c r="CA10" i="7"/>
  <c r="BZ10" i="7"/>
  <c r="BY10" i="7"/>
  <c r="BX10" i="7"/>
  <c r="BW10" i="7"/>
  <c r="BV10" i="7"/>
  <c r="BU10" i="7"/>
  <c r="BT10" i="7"/>
  <c r="BS10" i="7"/>
  <c r="BR10" i="7"/>
  <c r="BQ10" i="7"/>
  <c r="BP10" i="7"/>
  <c r="BO10" i="7"/>
  <c r="BM10" i="7"/>
  <c r="BL10" i="7"/>
  <c r="BK10" i="7"/>
  <c r="BJ10" i="7"/>
  <c r="BI10" i="7"/>
  <c r="BH10" i="7"/>
  <c r="BG10" i="7"/>
  <c r="BF10" i="7"/>
  <c r="BE10" i="7"/>
  <c r="BD10" i="7"/>
  <c r="BC10" i="7"/>
  <c r="BB10" i="7"/>
  <c r="BA10" i="7"/>
  <c r="AZ10" i="7"/>
  <c r="AY10" i="7"/>
  <c r="AX10" i="7"/>
  <c r="AW10" i="7"/>
  <c r="AV10" i="7"/>
  <c r="AU10" i="7"/>
  <c r="AT10" i="7"/>
  <c r="AS10" i="7"/>
  <c r="AR10" i="7"/>
  <c r="AQ10" i="7"/>
  <c r="AP10" i="7"/>
  <c r="AO10" i="7"/>
  <c r="AN10" i="7"/>
  <c r="AM10" i="7"/>
  <c r="AL10" i="7"/>
  <c r="AJ10" i="7"/>
  <c r="AI10" i="7"/>
  <c r="AH10" i="7"/>
  <c r="AG10" i="7"/>
  <c r="AF10" i="7"/>
  <c r="AE10" i="7"/>
  <c r="AD10" i="7"/>
  <c r="AC10" i="7"/>
  <c r="AB10" i="7"/>
  <c r="AA10" i="7"/>
  <c r="Z10" i="7"/>
  <c r="Y10" i="7"/>
  <c r="X10" i="7"/>
  <c r="W10" i="7"/>
  <c r="V10" i="7"/>
  <c r="U10" i="7"/>
  <c r="T10" i="7"/>
  <c r="S10" i="7"/>
  <c r="R10" i="7"/>
  <c r="Q10" i="7"/>
  <c r="P10" i="7"/>
  <c r="O10" i="7"/>
  <c r="N10" i="7"/>
  <c r="M10" i="7"/>
  <c r="L10" i="7"/>
  <c r="E10" i="7"/>
  <c r="D10" i="7"/>
  <c r="C10" i="7"/>
  <c r="ED9" i="7"/>
  <c r="EC9" i="7"/>
  <c r="EB9" i="7"/>
  <c r="EA9" i="7"/>
  <c r="DZ9" i="7"/>
  <c r="DY9" i="7"/>
  <c r="DX9" i="7"/>
  <c r="DW9" i="7"/>
  <c r="DV9" i="7"/>
  <c r="DU9" i="7"/>
  <c r="DT9" i="7"/>
  <c r="DS9" i="7"/>
  <c r="DR9" i="7"/>
  <c r="DQ9" i="7"/>
  <c r="DP9" i="7"/>
  <c r="DO9" i="7"/>
  <c r="DN9" i="7"/>
  <c r="DM9" i="7"/>
  <c r="DL9" i="7"/>
  <c r="DK9" i="7"/>
  <c r="DJ9" i="7"/>
  <c r="DI9" i="7"/>
  <c r="DH9" i="7"/>
  <c r="DG9" i="7"/>
  <c r="DF9" i="7"/>
  <c r="DE9" i="7"/>
  <c r="DD9" i="7"/>
  <c r="DC9" i="7"/>
  <c r="DB9" i="7"/>
  <c r="DA9" i="7"/>
  <c r="CZ9" i="7"/>
  <c r="CY9" i="7"/>
  <c r="CX9" i="7"/>
  <c r="CW9" i="7"/>
  <c r="CV9" i="7"/>
  <c r="CU9" i="7"/>
  <c r="CT9" i="7"/>
  <c r="CS9" i="7"/>
  <c r="CR9" i="7"/>
  <c r="CQ9" i="7"/>
  <c r="CP9" i="7"/>
  <c r="CO9" i="7"/>
  <c r="CN9" i="7"/>
  <c r="CM9" i="7"/>
  <c r="CL9" i="7"/>
  <c r="CK9" i="7"/>
  <c r="CJ9" i="7"/>
  <c r="CI9" i="7"/>
  <c r="CH9" i="7"/>
  <c r="CG9" i="7"/>
  <c r="CF9" i="7"/>
  <c r="CE9" i="7"/>
  <c r="CD9" i="7"/>
  <c r="CC9" i="7"/>
  <c r="CB9" i="7"/>
  <c r="CA9" i="7"/>
  <c r="BZ9" i="7"/>
  <c r="BY9" i="7"/>
  <c r="BX9" i="7"/>
  <c r="BW9" i="7"/>
  <c r="BV9" i="7"/>
  <c r="BU9" i="7"/>
  <c r="BT9" i="7"/>
  <c r="BS9" i="7"/>
  <c r="BR9" i="7"/>
  <c r="BQ9" i="7"/>
  <c r="BP9" i="7"/>
  <c r="BO9" i="7"/>
  <c r="BM9" i="7"/>
  <c r="BL9" i="7"/>
  <c r="BK9" i="7"/>
  <c r="BJ9" i="7"/>
  <c r="BI9" i="7"/>
  <c r="BH9" i="7"/>
  <c r="BG9" i="7"/>
  <c r="BF9" i="7"/>
  <c r="BE9" i="7"/>
  <c r="BD9" i="7"/>
  <c r="BC9" i="7"/>
  <c r="BB9" i="7"/>
  <c r="BA9" i="7"/>
  <c r="AZ9" i="7"/>
  <c r="AY9" i="7"/>
  <c r="AX9" i="7"/>
  <c r="AW9" i="7"/>
  <c r="AV9" i="7"/>
  <c r="AU9" i="7"/>
  <c r="AT9" i="7"/>
  <c r="AS9" i="7"/>
  <c r="AR9" i="7"/>
  <c r="AQ9" i="7"/>
  <c r="AP9" i="7"/>
  <c r="AO9" i="7"/>
  <c r="AN9" i="7"/>
  <c r="AM9" i="7"/>
  <c r="AL9" i="7"/>
  <c r="AJ9" i="7"/>
  <c r="AI9" i="7"/>
  <c r="AH9" i="7"/>
  <c r="AG9" i="7"/>
  <c r="AF9" i="7"/>
  <c r="AE9" i="7"/>
  <c r="AD9" i="7"/>
  <c r="AC9" i="7"/>
  <c r="AB9" i="7"/>
  <c r="AA9" i="7"/>
  <c r="Z9" i="7"/>
  <c r="Y9" i="7"/>
  <c r="X9" i="7"/>
  <c r="W9" i="7"/>
  <c r="V9" i="7"/>
  <c r="U9" i="7"/>
  <c r="T9" i="7"/>
  <c r="S9" i="7"/>
  <c r="R9" i="7"/>
  <c r="Q9" i="7"/>
  <c r="P9" i="7"/>
  <c r="O9" i="7"/>
  <c r="N9" i="7"/>
  <c r="M9" i="7"/>
  <c r="L9" i="7"/>
  <c r="J9" i="7"/>
  <c r="F9" i="7"/>
  <c r="E9" i="7"/>
  <c r="D9" i="7"/>
  <c r="C9" i="7"/>
  <c r="ED8" i="7"/>
  <c r="EC8" i="7"/>
  <c r="EB8" i="7"/>
  <c r="EA8" i="7"/>
  <c r="DZ8" i="7"/>
  <c r="DY8" i="7"/>
  <c r="DX8" i="7"/>
  <c r="DW8" i="7"/>
  <c r="DV8" i="7"/>
  <c r="DU8" i="7"/>
  <c r="DT8" i="7"/>
  <c r="DS8" i="7"/>
  <c r="DR8" i="7"/>
  <c r="DQ8" i="7"/>
  <c r="DP8" i="7"/>
  <c r="DO8" i="7"/>
  <c r="DN8" i="7"/>
  <c r="DM8" i="7"/>
  <c r="DL8" i="7"/>
  <c r="DK8" i="7"/>
  <c r="DJ8" i="7"/>
  <c r="DI8" i="7"/>
  <c r="DH8" i="7"/>
  <c r="DG8" i="7"/>
  <c r="DF8" i="7"/>
  <c r="DE8" i="7"/>
  <c r="DD8" i="7"/>
  <c r="DC8" i="7"/>
  <c r="DB8" i="7"/>
  <c r="DA8" i="7"/>
  <c r="CZ8" i="7"/>
  <c r="CY8" i="7"/>
  <c r="CX8" i="7"/>
  <c r="CW8" i="7"/>
  <c r="CV8" i="7"/>
  <c r="CU8" i="7"/>
  <c r="CT8" i="7"/>
  <c r="CS8" i="7"/>
  <c r="CR8" i="7"/>
  <c r="CQ8" i="7"/>
  <c r="CP8" i="7"/>
  <c r="CO8" i="7"/>
  <c r="CN8" i="7"/>
  <c r="CM8" i="7"/>
  <c r="CL8" i="7"/>
  <c r="CK8" i="7"/>
  <c r="CJ8" i="7"/>
  <c r="CI8" i="7"/>
  <c r="CH8" i="7"/>
  <c r="CG8" i="7"/>
  <c r="CF8" i="7"/>
  <c r="CE8" i="7"/>
  <c r="CD8" i="7"/>
  <c r="CC8" i="7"/>
  <c r="CB8" i="7"/>
  <c r="CA8" i="7"/>
  <c r="BZ8" i="7"/>
  <c r="BY8" i="7"/>
  <c r="BX8" i="7"/>
  <c r="BW8" i="7"/>
  <c r="BV8" i="7"/>
  <c r="BU8" i="7"/>
  <c r="BT8" i="7"/>
  <c r="BS8" i="7"/>
  <c r="BR8" i="7"/>
  <c r="BQ8" i="7"/>
  <c r="BP8" i="7"/>
  <c r="BO8" i="7"/>
  <c r="BM8" i="7"/>
  <c r="BL8" i="7"/>
  <c r="BK8" i="7"/>
  <c r="BJ8" i="7"/>
  <c r="BI8" i="7"/>
  <c r="BH8" i="7"/>
  <c r="BG8" i="7"/>
  <c r="BF8" i="7"/>
  <c r="BE8" i="7"/>
  <c r="BD8" i="7"/>
  <c r="BC8" i="7"/>
  <c r="BB8" i="7"/>
  <c r="BA8" i="7"/>
  <c r="AZ8" i="7"/>
  <c r="AY8" i="7"/>
  <c r="AX8" i="7"/>
  <c r="AW8" i="7"/>
  <c r="AV8" i="7"/>
  <c r="AU8" i="7"/>
  <c r="AT8" i="7"/>
  <c r="AS8" i="7"/>
  <c r="AR8" i="7"/>
  <c r="AQ8" i="7"/>
  <c r="AP8" i="7"/>
  <c r="AO8" i="7"/>
  <c r="AN8" i="7"/>
  <c r="AM8" i="7"/>
  <c r="AL8" i="7"/>
  <c r="AJ8" i="7"/>
  <c r="AI8" i="7"/>
  <c r="AH8" i="7"/>
  <c r="AG8" i="7"/>
  <c r="AF8" i="7"/>
  <c r="AE8" i="7"/>
  <c r="AD8" i="7"/>
  <c r="AC8" i="7"/>
  <c r="AB8" i="7"/>
  <c r="AA8" i="7"/>
  <c r="Z8" i="7"/>
  <c r="Y8" i="7"/>
  <c r="X8" i="7"/>
  <c r="W8" i="7"/>
  <c r="V8" i="7"/>
  <c r="U8" i="7"/>
  <c r="T8" i="7"/>
  <c r="S8" i="7"/>
  <c r="R8" i="7"/>
  <c r="Q8" i="7"/>
  <c r="P8" i="7"/>
  <c r="O8" i="7"/>
  <c r="N8" i="7"/>
  <c r="M8" i="7"/>
  <c r="E8" i="7"/>
  <c r="ED7" i="7"/>
  <c r="EC7" i="7"/>
  <c r="EB7" i="7"/>
  <c r="EA7" i="7"/>
  <c r="DZ7" i="7"/>
  <c r="DY7" i="7"/>
  <c r="DX7" i="7"/>
  <c r="DW7" i="7"/>
  <c r="DV7" i="7"/>
  <c r="DU7" i="7"/>
  <c r="DT7" i="7"/>
  <c r="DS7" i="7"/>
  <c r="DR7" i="7"/>
  <c r="DQ7" i="7"/>
  <c r="DP7" i="7"/>
  <c r="DO7" i="7"/>
  <c r="DN7" i="7"/>
  <c r="DM7" i="7"/>
  <c r="DL7" i="7"/>
  <c r="DK7" i="7"/>
  <c r="DJ7" i="7"/>
  <c r="DI7" i="7"/>
  <c r="DH7" i="7"/>
  <c r="DG7" i="7"/>
  <c r="DF7" i="7"/>
  <c r="DE7" i="7"/>
  <c r="DD7" i="7"/>
  <c r="DC7" i="7"/>
  <c r="DB7" i="7"/>
  <c r="DA7" i="7"/>
  <c r="CZ7" i="7"/>
  <c r="CY7" i="7"/>
  <c r="CX7" i="7"/>
  <c r="CW7" i="7"/>
  <c r="CV7" i="7"/>
  <c r="CU7" i="7"/>
  <c r="CT7" i="7"/>
  <c r="CS7" i="7"/>
  <c r="CR7" i="7"/>
  <c r="CQ7" i="7"/>
  <c r="CP7" i="7"/>
  <c r="CO7" i="7"/>
  <c r="CN7" i="7"/>
  <c r="CM7" i="7"/>
  <c r="CL7" i="7"/>
  <c r="CK7" i="7"/>
  <c r="CJ7" i="7"/>
  <c r="CI7" i="7"/>
  <c r="CH7" i="7"/>
  <c r="CG7" i="7"/>
  <c r="CF7" i="7"/>
  <c r="CE7" i="7"/>
  <c r="CD7" i="7"/>
  <c r="CC7" i="7"/>
  <c r="CB7" i="7"/>
  <c r="CA7" i="7"/>
  <c r="BZ7" i="7"/>
  <c r="BY7" i="7"/>
  <c r="BX7" i="7"/>
  <c r="BW7" i="7"/>
  <c r="BV7" i="7"/>
  <c r="BU7" i="7"/>
  <c r="BT7" i="7"/>
  <c r="BS7" i="7"/>
  <c r="BR7" i="7"/>
  <c r="BQ7" i="7"/>
  <c r="BP7" i="7"/>
  <c r="BO7" i="7"/>
  <c r="BM7" i="7"/>
  <c r="BL7" i="7"/>
  <c r="BK7" i="7"/>
  <c r="BJ7" i="7"/>
  <c r="BI7" i="7"/>
  <c r="BH7" i="7"/>
  <c r="BG7" i="7"/>
  <c r="BF7" i="7"/>
  <c r="BE7" i="7"/>
  <c r="BD7" i="7"/>
  <c r="BC7" i="7"/>
  <c r="BB7" i="7"/>
  <c r="BA7" i="7"/>
  <c r="AZ7" i="7"/>
  <c r="AY7" i="7"/>
  <c r="AX7" i="7"/>
  <c r="AW7" i="7"/>
  <c r="AV7" i="7"/>
  <c r="AU7" i="7"/>
  <c r="AT7" i="7"/>
  <c r="AS7" i="7"/>
  <c r="AR7" i="7"/>
  <c r="AQ7" i="7"/>
  <c r="AP7" i="7"/>
  <c r="AO7" i="7"/>
  <c r="AN7" i="7"/>
  <c r="AM7" i="7"/>
  <c r="AL7" i="7"/>
  <c r="AJ7" i="7"/>
  <c r="AI7" i="7"/>
  <c r="AH7" i="7"/>
  <c r="AG7" i="7"/>
  <c r="AF7" i="7"/>
  <c r="AE7" i="7"/>
  <c r="AD7" i="7"/>
  <c r="AC7" i="7"/>
  <c r="AB7" i="7"/>
  <c r="AA7" i="7"/>
  <c r="Z7" i="7"/>
  <c r="Y7" i="7"/>
  <c r="X7" i="7"/>
  <c r="W7" i="7"/>
  <c r="V7" i="7"/>
  <c r="U7" i="7"/>
  <c r="T7" i="7"/>
  <c r="S7" i="7"/>
  <c r="R7" i="7"/>
  <c r="Q7" i="7"/>
  <c r="P7" i="7"/>
  <c r="O7" i="7"/>
  <c r="N7" i="7"/>
  <c r="M7" i="7"/>
  <c r="E7" i="7"/>
  <c r="E6" i="7"/>
  <c r="K5" i="7"/>
  <c r="J5" i="7"/>
  <c r="F5" i="7"/>
  <c r="E5" i="7"/>
  <c r="E162" i="6"/>
  <c r="E161" i="6"/>
  <c r="E160" i="6"/>
  <c r="E159" i="6"/>
  <c r="E158" i="6"/>
  <c r="E157" i="6"/>
  <c r="E156" i="6"/>
  <c r="E155" i="6"/>
  <c r="E154" i="6"/>
  <c r="E153" i="6"/>
  <c r="E152" i="6"/>
  <c r="E151" i="6"/>
  <c r="E150" i="6"/>
  <c r="E149" i="6"/>
  <c r="E148" i="6"/>
  <c r="E147" i="6"/>
  <c r="E146" i="6"/>
  <c r="E145" i="6"/>
  <c r="E144" i="6"/>
  <c r="E143" i="6"/>
  <c r="E142" i="6"/>
  <c r="E141" i="6"/>
  <c r="E140" i="6"/>
  <c r="E139" i="6"/>
  <c r="E135" i="6"/>
  <c r="E134" i="6"/>
  <c r="E133" i="6"/>
  <c r="E132" i="6"/>
  <c r="E131" i="6"/>
  <c r="E130" i="6"/>
  <c r="E129" i="6"/>
  <c r="E128" i="6"/>
  <c r="E127" i="6"/>
  <c r="E126" i="6"/>
  <c r="E125" i="6"/>
  <c r="E124" i="6"/>
  <c r="E123" i="6"/>
  <c r="E122" i="6"/>
  <c r="E121" i="6"/>
  <c r="E120" i="6"/>
  <c r="E119" i="6"/>
  <c r="E118" i="6"/>
  <c r="E117" i="6"/>
  <c r="E116" i="6"/>
  <c r="E115" i="6"/>
  <c r="E114" i="6"/>
  <c r="E113" i="6"/>
  <c r="E112" i="6"/>
  <c r="E108" i="6"/>
  <c r="E107" i="6"/>
  <c r="E106" i="6"/>
  <c r="E105" i="6"/>
  <c r="E104" i="6"/>
  <c r="E103" i="6"/>
  <c r="E102" i="6"/>
  <c r="E101" i="6"/>
  <c r="E100" i="6"/>
  <c r="E99" i="6"/>
  <c r="E98" i="6"/>
  <c r="E97" i="6"/>
  <c r="E96" i="6"/>
  <c r="E95" i="6"/>
  <c r="E94" i="6"/>
  <c r="E93" i="6"/>
  <c r="E92" i="6"/>
  <c r="E91" i="6"/>
  <c r="E90" i="6"/>
  <c r="E89" i="6"/>
  <c r="E88" i="6"/>
  <c r="E87" i="6"/>
  <c r="E86" i="6"/>
  <c r="E85" i="6"/>
  <c r="D79" i="6"/>
  <c r="C79" i="6"/>
  <c r="E78" i="6"/>
  <c r="D78" i="6"/>
  <c r="C78" i="6"/>
  <c r="E77" i="6"/>
  <c r="D77" i="6"/>
  <c r="C77" i="6"/>
  <c r="E76" i="6"/>
  <c r="D76" i="6"/>
  <c r="C76" i="6"/>
  <c r="E75" i="6"/>
  <c r="D75" i="6"/>
  <c r="C75" i="6"/>
  <c r="E74" i="6"/>
  <c r="D74" i="6"/>
  <c r="C74" i="6"/>
  <c r="D70" i="6"/>
  <c r="C70" i="6"/>
  <c r="D69" i="6"/>
  <c r="C69" i="6"/>
  <c r="D68" i="6"/>
  <c r="C68" i="6"/>
  <c r="D67" i="6"/>
  <c r="C67" i="6"/>
  <c r="G66" i="6"/>
  <c r="F66" i="6"/>
  <c r="D66" i="6"/>
  <c r="C66" i="6"/>
  <c r="F65" i="6"/>
  <c r="E65" i="6"/>
  <c r="F64" i="6"/>
  <c r="E64" i="6"/>
  <c r="F63" i="6"/>
  <c r="E63" i="6"/>
  <c r="F62" i="6"/>
  <c r="E62" i="6"/>
  <c r="F61" i="6"/>
  <c r="E61" i="6"/>
  <c r="D57" i="6"/>
  <c r="E56" i="6"/>
  <c r="D56" i="6"/>
  <c r="C56" i="6"/>
  <c r="E55" i="6"/>
  <c r="E54" i="6"/>
  <c r="E51" i="6"/>
  <c r="D51" i="6"/>
  <c r="C51" i="6"/>
  <c r="E50" i="6"/>
  <c r="D50" i="6"/>
  <c r="C50" i="6"/>
  <c r="E49" i="6"/>
  <c r="D49" i="6"/>
  <c r="C49" i="6"/>
  <c r="E48" i="6"/>
  <c r="D48" i="6"/>
  <c r="C48" i="6"/>
  <c r="E47" i="6"/>
  <c r="D47" i="6"/>
  <c r="C47" i="6"/>
  <c r="E46" i="6"/>
  <c r="D46" i="6"/>
  <c r="C46" i="6"/>
  <c r="E45" i="6"/>
  <c r="D45" i="6"/>
  <c r="C45" i="6"/>
  <c r="E44" i="6"/>
  <c r="D44" i="6"/>
  <c r="C44" i="6"/>
  <c r="E43" i="6"/>
  <c r="D43" i="6"/>
  <c r="C43" i="6"/>
  <c r="E42" i="6"/>
  <c r="D42" i="6"/>
  <c r="C42" i="6"/>
  <c r="E41" i="6"/>
  <c r="D41" i="6"/>
  <c r="C41" i="6"/>
  <c r="E40" i="6"/>
  <c r="D40" i="6"/>
  <c r="C40" i="6"/>
  <c r="E39" i="6"/>
  <c r="D39" i="6"/>
  <c r="C39" i="6"/>
  <c r="E38" i="6"/>
  <c r="E37" i="6"/>
  <c r="E36" i="6"/>
  <c r="E35" i="6"/>
  <c r="ED34" i="6"/>
  <c r="EC34" i="6"/>
  <c r="EB34" i="6"/>
  <c r="EA34" i="6"/>
  <c r="DZ34" i="6"/>
  <c r="DY34" i="6"/>
  <c r="DX34" i="6"/>
  <c r="DW34" i="6"/>
  <c r="DV34" i="6"/>
  <c r="DU34" i="6"/>
  <c r="DT34" i="6"/>
  <c r="DS34" i="6"/>
  <c r="DR34" i="6"/>
  <c r="DQ34" i="6"/>
  <c r="DP34" i="6"/>
  <c r="DO34" i="6"/>
  <c r="DN34" i="6"/>
  <c r="DM34" i="6"/>
  <c r="DL34" i="6"/>
  <c r="DK34" i="6"/>
  <c r="DJ34" i="6"/>
  <c r="DI34" i="6"/>
  <c r="DH34" i="6"/>
  <c r="DG34" i="6"/>
  <c r="DF34" i="6"/>
  <c r="DE34" i="6"/>
  <c r="DD34" i="6"/>
  <c r="DC34" i="6"/>
  <c r="DB34" i="6"/>
  <c r="DA34" i="6"/>
  <c r="CZ34" i="6"/>
  <c r="CY34" i="6"/>
  <c r="CX34" i="6"/>
  <c r="CW34" i="6"/>
  <c r="CV34" i="6"/>
  <c r="CU34" i="6"/>
  <c r="CT34" i="6"/>
  <c r="CS34" i="6"/>
  <c r="CR34" i="6"/>
  <c r="CQ34" i="6"/>
  <c r="CP34" i="6"/>
  <c r="CO34" i="6"/>
  <c r="CN34" i="6"/>
  <c r="CM34" i="6"/>
  <c r="CL34" i="6"/>
  <c r="CK34" i="6"/>
  <c r="CJ34" i="6"/>
  <c r="CI34" i="6"/>
  <c r="CH34" i="6"/>
  <c r="CG34" i="6"/>
  <c r="CF34" i="6"/>
  <c r="CE34" i="6"/>
  <c r="CD34" i="6"/>
  <c r="CC34" i="6"/>
  <c r="CB34" i="6"/>
  <c r="CA34" i="6"/>
  <c r="BZ34" i="6"/>
  <c r="BY34" i="6"/>
  <c r="BX34" i="6"/>
  <c r="BW34" i="6"/>
  <c r="BV34" i="6"/>
  <c r="BU34" i="6"/>
  <c r="BT34" i="6"/>
  <c r="BS34" i="6"/>
  <c r="BR34" i="6"/>
  <c r="BQ34" i="6"/>
  <c r="BP34" i="6"/>
  <c r="BO34" i="6"/>
  <c r="BM34" i="6"/>
  <c r="BL34" i="6"/>
  <c r="BK34" i="6"/>
  <c r="BJ34" i="6"/>
  <c r="BI34" i="6"/>
  <c r="BH34" i="6"/>
  <c r="BG34" i="6"/>
  <c r="BF34" i="6"/>
  <c r="BE34" i="6"/>
  <c r="BD34" i="6"/>
  <c r="BC34" i="6"/>
  <c r="BB34" i="6"/>
  <c r="BA34" i="6"/>
  <c r="AZ34" i="6"/>
  <c r="AY34" i="6"/>
  <c r="AX34" i="6"/>
  <c r="AW34" i="6"/>
  <c r="AV34" i="6"/>
  <c r="AU34" i="6"/>
  <c r="AT34" i="6"/>
  <c r="AS34" i="6"/>
  <c r="AR34" i="6"/>
  <c r="AQ34" i="6"/>
  <c r="AP34" i="6"/>
  <c r="AO34" i="6"/>
  <c r="AN34" i="6"/>
  <c r="AM34" i="6"/>
  <c r="AL34" i="6"/>
  <c r="AJ34" i="6"/>
  <c r="AI34" i="6"/>
  <c r="AH34" i="6"/>
  <c r="AG34" i="6"/>
  <c r="AF34" i="6"/>
  <c r="AE34" i="6"/>
  <c r="AD34" i="6"/>
  <c r="AC34" i="6"/>
  <c r="AB34" i="6"/>
  <c r="AA34" i="6"/>
  <c r="Z34" i="6"/>
  <c r="Y34" i="6"/>
  <c r="X34" i="6"/>
  <c r="W34" i="6"/>
  <c r="V34" i="6"/>
  <c r="U34" i="6"/>
  <c r="T34" i="6"/>
  <c r="S34" i="6"/>
  <c r="R34" i="6"/>
  <c r="Q34" i="6"/>
  <c r="P34" i="6"/>
  <c r="O34" i="6"/>
  <c r="N34" i="6"/>
  <c r="M34" i="6"/>
  <c r="E34" i="6"/>
  <c r="ED33" i="6"/>
  <c r="EC33" i="6"/>
  <c r="EB33" i="6"/>
  <c r="EA33" i="6"/>
  <c r="DZ33" i="6"/>
  <c r="DY33" i="6"/>
  <c r="DX33" i="6"/>
  <c r="DW33" i="6"/>
  <c r="DV33" i="6"/>
  <c r="DU33" i="6"/>
  <c r="DT33" i="6"/>
  <c r="DS33" i="6"/>
  <c r="DR33" i="6"/>
  <c r="DQ33" i="6"/>
  <c r="DP33" i="6"/>
  <c r="DO33" i="6"/>
  <c r="DN33" i="6"/>
  <c r="DM33" i="6"/>
  <c r="DL33" i="6"/>
  <c r="DK33" i="6"/>
  <c r="DJ33" i="6"/>
  <c r="DI33" i="6"/>
  <c r="DH33" i="6"/>
  <c r="DG33" i="6"/>
  <c r="DF33" i="6"/>
  <c r="DE33" i="6"/>
  <c r="DD33" i="6"/>
  <c r="DC33" i="6"/>
  <c r="DB33" i="6"/>
  <c r="DA33" i="6"/>
  <c r="CZ33" i="6"/>
  <c r="CY33" i="6"/>
  <c r="CX33" i="6"/>
  <c r="CW33" i="6"/>
  <c r="CV33" i="6"/>
  <c r="CU33" i="6"/>
  <c r="CT33" i="6"/>
  <c r="CS33" i="6"/>
  <c r="CR33" i="6"/>
  <c r="CQ33" i="6"/>
  <c r="CP33" i="6"/>
  <c r="CO33" i="6"/>
  <c r="CN33" i="6"/>
  <c r="CM33" i="6"/>
  <c r="CL33" i="6"/>
  <c r="CK33" i="6"/>
  <c r="CJ33" i="6"/>
  <c r="CI33" i="6"/>
  <c r="CH33" i="6"/>
  <c r="CG33" i="6"/>
  <c r="CF33" i="6"/>
  <c r="CE33" i="6"/>
  <c r="CD33" i="6"/>
  <c r="CC33" i="6"/>
  <c r="CB33" i="6"/>
  <c r="CA33" i="6"/>
  <c r="BZ33" i="6"/>
  <c r="BY33" i="6"/>
  <c r="BX33" i="6"/>
  <c r="BW33" i="6"/>
  <c r="BV33" i="6"/>
  <c r="BU33" i="6"/>
  <c r="BT33" i="6"/>
  <c r="BS33" i="6"/>
  <c r="BR33" i="6"/>
  <c r="BQ33" i="6"/>
  <c r="BP33" i="6"/>
  <c r="BO33" i="6"/>
  <c r="BM33" i="6"/>
  <c r="BL33" i="6"/>
  <c r="BK33" i="6"/>
  <c r="BJ33" i="6"/>
  <c r="BI33" i="6"/>
  <c r="BH33" i="6"/>
  <c r="BG33" i="6"/>
  <c r="BF33" i="6"/>
  <c r="BE33" i="6"/>
  <c r="BD33" i="6"/>
  <c r="BC33" i="6"/>
  <c r="BB33" i="6"/>
  <c r="BA33" i="6"/>
  <c r="AZ33" i="6"/>
  <c r="AY33" i="6"/>
  <c r="AX33" i="6"/>
  <c r="AW33" i="6"/>
  <c r="AV33" i="6"/>
  <c r="AU33" i="6"/>
  <c r="AT33" i="6"/>
  <c r="AS33" i="6"/>
  <c r="AR33" i="6"/>
  <c r="AQ33" i="6"/>
  <c r="AP33" i="6"/>
  <c r="AO33" i="6"/>
  <c r="AN33" i="6"/>
  <c r="AM33" i="6"/>
  <c r="AL33" i="6"/>
  <c r="AJ33" i="6"/>
  <c r="AI33" i="6"/>
  <c r="AH33" i="6"/>
  <c r="AG33" i="6"/>
  <c r="AF33" i="6"/>
  <c r="AE33" i="6"/>
  <c r="AD33" i="6"/>
  <c r="AC33" i="6"/>
  <c r="AB33" i="6"/>
  <c r="AA33" i="6"/>
  <c r="Z33" i="6"/>
  <c r="Y33" i="6"/>
  <c r="X33" i="6"/>
  <c r="W33" i="6"/>
  <c r="V33" i="6"/>
  <c r="U33" i="6"/>
  <c r="T33" i="6"/>
  <c r="S33" i="6"/>
  <c r="R33" i="6"/>
  <c r="Q33" i="6"/>
  <c r="P33" i="6"/>
  <c r="O33" i="6"/>
  <c r="N33" i="6"/>
  <c r="M33" i="6"/>
  <c r="E33" i="6"/>
  <c r="ED32" i="6"/>
  <c r="EC32" i="6"/>
  <c r="EB32" i="6"/>
  <c r="EA32" i="6"/>
  <c r="DZ32" i="6"/>
  <c r="DY32" i="6"/>
  <c r="DX32" i="6"/>
  <c r="DW32" i="6"/>
  <c r="DV32" i="6"/>
  <c r="DU32" i="6"/>
  <c r="DT32" i="6"/>
  <c r="DS32" i="6"/>
  <c r="DR32" i="6"/>
  <c r="DQ32" i="6"/>
  <c r="DP32" i="6"/>
  <c r="DO32" i="6"/>
  <c r="DN32" i="6"/>
  <c r="DM32" i="6"/>
  <c r="DL32" i="6"/>
  <c r="DK32" i="6"/>
  <c r="DJ32" i="6"/>
  <c r="DI32" i="6"/>
  <c r="DH32" i="6"/>
  <c r="DG32" i="6"/>
  <c r="DF32" i="6"/>
  <c r="DE32" i="6"/>
  <c r="DD32" i="6"/>
  <c r="DC32" i="6"/>
  <c r="DB32" i="6"/>
  <c r="DA32" i="6"/>
  <c r="CZ32" i="6"/>
  <c r="CY32" i="6"/>
  <c r="CX32" i="6"/>
  <c r="CW32" i="6"/>
  <c r="CV32" i="6"/>
  <c r="CU32" i="6"/>
  <c r="CT32" i="6"/>
  <c r="CS32" i="6"/>
  <c r="CR32" i="6"/>
  <c r="CQ32" i="6"/>
  <c r="CP32" i="6"/>
  <c r="CO32" i="6"/>
  <c r="CN32" i="6"/>
  <c r="CM32" i="6"/>
  <c r="CL32" i="6"/>
  <c r="CK32" i="6"/>
  <c r="CJ32" i="6"/>
  <c r="CI32" i="6"/>
  <c r="CH32" i="6"/>
  <c r="CG32" i="6"/>
  <c r="CF32" i="6"/>
  <c r="CE32" i="6"/>
  <c r="CD32" i="6"/>
  <c r="CC32" i="6"/>
  <c r="CB32" i="6"/>
  <c r="CA32" i="6"/>
  <c r="BZ32" i="6"/>
  <c r="BY32" i="6"/>
  <c r="BX32" i="6"/>
  <c r="BW32" i="6"/>
  <c r="BV32" i="6"/>
  <c r="BU32" i="6"/>
  <c r="BT32" i="6"/>
  <c r="BS32" i="6"/>
  <c r="BR32" i="6"/>
  <c r="BQ32" i="6"/>
  <c r="BP32" i="6"/>
  <c r="BO32" i="6"/>
  <c r="BM32" i="6"/>
  <c r="BL32" i="6"/>
  <c r="BK32" i="6"/>
  <c r="BJ32" i="6"/>
  <c r="BI32" i="6"/>
  <c r="BH32" i="6"/>
  <c r="BG32" i="6"/>
  <c r="BF32" i="6"/>
  <c r="BE32" i="6"/>
  <c r="BD32" i="6"/>
  <c r="BC32" i="6"/>
  <c r="BB32" i="6"/>
  <c r="BA32" i="6"/>
  <c r="AZ32" i="6"/>
  <c r="AY32" i="6"/>
  <c r="AX32" i="6"/>
  <c r="AW32" i="6"/>
  <c r="AV32" i="6"/>
  <c r="AU32" i="6"/>
  <c r="AT32" i="6"/>
  <c r="AS32" i="6"/>
  <c r="AR32" i="6"/>
  <c r="AQ32" i="6"/>
  <c r="AP32" i="6"/>
  <c r="AO32" i="6"/>
  <c r="AN32" i="6"/>
  <c r="AM32" i="6"/>
  <c r="AL32" i="6"/>
  <c r="AJ32" i="6"/>
  <c r="AI32" i="6"/>
  <c r="AH32" i="6"/>
  <c r="AG32" i="6"/>
  <c r="AF32" i="6"/>
  <c r="AE32" i="6"/>
  <c r="AD32" i="6"/>
  <c r="AC32" i="6"/>
  <c r="AB32" i="6"/>
  <c r="AA32" i="6"/>
  <c r="Z32" i="6"/>
  <c r="Y32" i="6"/>
  <c r="X32" i="6"/>
  <c r="W32" i="6"/>
  <c r="V32" i="6"/>
  <c r="U32" i="6"/>
  <c r="T32" i="6"/>
  <c r="S32" i="6"/>
  <c r="R32" i="6"/>
  <c r="Q32" i="6"/>
  <c r="P32" i="6"/>
  <c r="O32" i="6"/>
  <c r="N32" i="6"/>
  <c r="M32" i="6"/>
  <c r="E32" i="6"/>
  <c r="ED31" i="6"/>
  <c r="EC31" i="6"/>
  <c r="EB31" i="6"/>
  <c r="EA31" i="6"/>
  <c r="DZ31" i="6"/>
  <c r="DY31" i="6"/>
  <c r="DX31" i="6"/>
  <c r="DW31" i="6"/>
  <c r="DV31" i="6"/>
  <c r="DU31" i="6"/>
  <c r="DT31" i="6"/>
  <c r="DS31" i="6"/>
  <c r="DR31" i="6"/>
  <c r="DQ31" i="6"/>
  <c r="DP31" i="6"/>
  <c r="DO31" i="6"/>
  <c r="DN31" i="6"/>
  <c r="DM31" i="6"/>
  <c r="DL31" i="6"/>
  <c r="DK31" i="6"/>
  <c r="DJ31" i="6"/>
  <c r="DI31" i="6"/>
  <c r="DH31" i="6"/>
  <c r="DG31" i="6"/>
  <c r="DF31" i="6"/>
  <c r="DE31" i="6"/>
  <c r="DD31" i="6"/>
  <c r="DC31" i="6"/>
  <c r="DB31" i="6"/>
  <c r="DA31" i="6"/>
  <c r="CZ31" i="6"/>
  <c r="CY31" i="6"/>
  <c r="CX31" i="6"/>
  <c r="CW31" i="6"/>
  <c r="CV31" i="6"/>
  <c r="CU31" i="6"/>
  <c r="CT31" i="6"/>
  <c r="CS31" i="6"/>
  <c r="CR31" i="6"/>
  <c r="CQ31" i="6"/>
  <c r="CP31" i="6"/>
  <c r="CO31" i="6"/>
  <c r="CN31" i="6"/>
  <c r="CM31" i="6"/>
  <c r="CL31" i="6"/>
  <c r="CK31" i="6"/>
  <c r="CJ31" i="6"/>
  <c r="CI31" i="6"/>
  <c r="CH31" i="6"/>
  <c r="CG31" i="6"/>
  <c r="CF31" i="6"/>
  <c r="CE31" i="6"/>
  <c r="CD31" i="6"/>
  <c r="CC31" i="6"/>
  <c r="CB31" i="6"/>
  <c r="CA31" i="6"/>
  <c r="BZ31" i="6"/>
  <c r="BY31" i="6"/>
  <c r="BX31" i="6"/>
  <c r="BW31" i="6"/>
  <c r="BV31" i="6"/>
  <c r="BU31" i="6"/>
  <c r="BT31" i="6"/>
  <c r="BS31" i="6"/>
  <c r="BR31" i="6"/>
  <c r="BQ31" i="6"/>
  <c r="BP31" i="6"/>
  <c r="BO31" i="6"/>
  <c r="BM31" i="6"/>
  <c r="BL31" i="6"/>
  <c r="BK31" i="6"/>
  <c r="BJ31" i="6"/>
  <c r="BI31" i="6"/>
  <c r="BH31" i="6"/>
  <c r="BG31" i="6"/>
  <c r="BF31" i="6"/>
  <c r="BE31" i="6"/>
  <c r="BD31" i="6"/>
  <c r="BC31" i="6"/>
  <c r="BB31" i="6"/>
  <c r="BA31" i="6"/>
  <c r="AZ31" i="6"/>
  <c r="AY31" i="6"/>
  <c r="AX31" i="6"/>
  <c r="AW31" i="6"/>
  <c r="AV31" i="6"/>
  <c r="AU31" i="6"/>
  <c r="AT31" i="6"/>
  <c r="AS31" i="6"/>
  <c r="AR31" i="6"/>
  <c r="AQ31" i="6"/>
  <c r="AP31" i="6"/>
  <c r="AO31" i="6"/>
  <c r="AN31" i="6"/>
  <c r="AM31" i="6"/>
  <c r="AL31" i="6"/>
  <c r="AJ31" i="6"/>
  <c r="AI31" i="6"/>
  <c r="AH31" i="6"/>
  <c r="AG31" i="6"/>
  <c r="AF31" i="6"/>
  <c r="AE31" i="6"/>
  <c r="AD31" i="6"/>
  <c r="AC31" i="6"/>
  <c r="AB31" i="6"/>
  <c r="AA31" i="6"/>
  <c r="Z31" i="6"/>
  <c r="Y31" i="6"/>
  <c r="X31" i="6"/>
  <c r="W31" i="6"/>
  <c r="V31" i="6"/>
  <c r="U31" i="6"/>
  <c r="T31" i="6"/>
  <c r="S31" i="6"/>
  <c r="R31" i="6"/>
  <c r="Q31" i="6"/>
  <c r="P31" i="6"/>
  <c r="O31" i="6"/>
  <c r="N31" i="6"/>
  <c r="M31" i="6"/>
  <c r="E31" i="6"/>
  <c r="D31" i="6"/>
  <c r="C31" i="6"/>
  <c r="ED30" i="6"/>
  <c r="EC30" i="6"/>
  <c r="EB30" i="6"/>
  <c r="EA30" i="6"/>
  <c r="DZ30" i="6"/>
  <c r="DY30" i="6"/>
  <c r="DX30" i="6"/>
  <c r="DW30" i="6"/>
  <c r="DV30" i="6"/>
  <c r="DU30" i="6"/>
  <c r="DT30" i="6"/>
  <c r="DS30" i="6"/>
  <c r="DR30" i="6"/>
  <c r="DQ30" i="6"/>
  <c r="DP30" i="6"/>
  <c r="DO30" i="6"/>
  <c r="DN30" i="6"/>
  <c r="DM30" i="6"/>
  <c r="DL30" i="6"/>
  <c r="DK30" i="6"/>
  <c r="DJ30" i="6"/>
  <c r="DI30" i="6"/>
  <c r="DH30" i="6"/>
  <c r="DG30" i="6"/>
  <c r="DF30" i="6"/>
  <c r="DE30" i="6"/>
  <c r="DD30" i="6"/>
  <c r="DC30" i="6"/>
  <c r="DB30" i="6"/>
  <c r="DA30" i="6"/>
  <c r="CZ30" i="6"/>
  <c r="CY30" i="6"/>
  <c r="CX30" i="6"/>
  <c r="CW30" i="6"/>
  <c r="CV30" i="6"/>
  <c r="CU30" i="6"/>
  <c r="CT30" i="6"/>
  <c r="CS30" i="6"/>
  <c r="CR30" i="6"/>
  <c r="CQ30" i="6"/>
  <c r="CP30" i="6"/>
  <c r="CO30" i="6"/>
  <c r="CN30" i="6"/>
  <c r="CM30" i="6"/>
  <c r="CL30" i="6"/>
  <c r="CK30" i="6"/>
  <c r="CJ30" i="6"/>
  <c r="CI30" i="6"/>
  <c r="CH30" i="6"/>
  <c r="CG30" i="6"/>
  <c r="CF30" i="6"/>
  <c r="CE30" i="6"/>
  <c r="CD30" i="6"/>
  <c r="CC30" i="6"/>
  <c r="CB30" i="6"/>
  <c r="CA30" i="6"/>
  <c r="BZ30" i="6"/>
  <c r="BY30" i="6"/>
  <c r="BX30" i="6"/>
  <c r="BW30" i="6"/>
  <c r="BV30" i="6"/>
  <c r="BU30" i="6"/>
  <c r="BT30" i="6"/>
  <c r="BS30" i="6"/>
  <c r="BR30" i="6"/>
  <c r="BQ30" i="6"/>
  <c r="BP30" i="6"/>
  <c r="BO30" i="6"/>
  <c r="BM30" i="6"/>
  <c r="BL30" i="6"/>
  <c r="BK30" i="6"/>
  <c r="BJ30" i="6"/>
  <c r="BI30" i="6"/>
  <c r="BH30" i="6"/>
  <c r="BG30" i="6"/>
  <c r="BF30" i="6"/>
  <c r="BE30" i="6"/>
  <c r="BD30" i="6"/>
  <c r="BC30" i="6"/>
  <c r="BB30" i="6"/>
  <c r="BA30" i="6"/>
  <c r="AZ30" i="6"/>
  <c r="AY30" i="6"/>
  <c r="AX30" i="6"/>
  <c r="AW30" i="6"/>
  <c r="AV30" i="6"/>
  <c r="AU30" i="6"/>
  <c r="AT30" i="6"/>
  <c r="AS30" i="6"/>
  <c r="AR30" i="6"/>
  <c r="AQ30" i="6"/>
  <c r="AP30" i="6"/>
  <c r="AO30" i="6"/>
  <c r="AN30" i="6"/>
  <c r="AM30" i="6"/>
  <c r="AL30" i="6"/>
  <c r="AJ30" i="6"/>
  <c r="AI30" i="6"/>
  <c r="AH30" i="6"/>
  <c r="AG30" i="6"/>
  <c r="AF30" i="6"/>
  <c r="AE30" i="6"/>
  <c r="AD30" i="6"/>
  <c r="AC30" i="6"/>
  <c r="AB30" i="6"/>
  <c r="AA30" i="6"/>
  <c r="Z30" i="6"/>
  <c r="Y30" i="6"/>
  <c r="X30" i="6"/>
  <c r="W30" i="6"/>
  <c r="V30" i="6"/>
  <c r="U30" i="6"/>
  <c r="T30" i="6"/>
  <c r="S30" i="6"/>
  <c r="R30" i="6"/>
  <c r="Q30" i="6"/>
  <c r="P30" i="6"/>
  <c r="O30" i="6"/>
  <c r="N30" i="6"/>
  <c r="M30" i="6"/>
  <c r="E30" i="6"/>
  <c r="D30" i="6"/>
  <c r="C30" i="6"/>
  <c r="ED29" i="6"/>
  <c r="EC29" i="6"/>
  <c r="EB29" i="6"/>
  <c r="EA29" i="6"/>
  <c r="DZ29" i="6"/>
  <c r="DY29" i="6"/>
  <c r="DX29" i="6"/>
  <c r="DW29" i="6"/>
  <c r="DV29" i="6"/>
  <c r="DU29" i="6"/>
  <c r="DT29" i="6"/>
  <c r="DS29" i="6"/>
  <c r="DR29" i="6"/>
  <c r="DQ29" i="6"/>
  <c r="DP29" i="6"/>
  <c r="DO29" i="6"/>
  <c r="DN29" i="6"/>
  <c r="DM29" i="6"/>
  <c r="DL29" i="6"/>
  <c r="DK29" i="6"/>
  <c r="DJ29" i="6"/>
  <c r="DI29" i="6"/>
  <c r="DH29" i="6"/>
  <c r="DG29" i="6"/>
  <c r="DF29" i="6"/>
  <c r="DE29" i="6"/>
  <c r="DD29" i="6"/>
  <c r="DC29" i="6"/>
  <c r="DB29" i="6"/>
  <c r="DA29" i="6"/>
  <c r="CZ29" i="6"/>
  <c r="CY29" i="6"/>
  <c r="CX29" i="6"/>
  <c r="CW29" i="6"/>
  <c r="CV29" i="6"/>
  <c r="CU29" i="6"/>
  <c r="CT29" i="6"/>
  <c r="CS29" i="6"/>
  <c r="CR29" i="6"/>
  <c r="CQ29" i="6"/>
  <c r="CP29" i="6"/>
  <c r="CO29" i="6"/>
  <c r="CN29" i="6"/>
  <c r="CM29" i="6"/>
  <c r="CL29" i="6"/>
  <c r="CK29" i="6"/>
  <c r="CJ29" i="6"/>
  <c r="CI29" i="6"/>
  <c r="CH29" i="6"/>
  <c r="CG29" i="6"/>
  <c r="CF29" i="6"/>
  <c r="CE29" i="6"/>
  <c r="CD29" i="6"/>
  <c r="CC29" i="6"/>
  <c r="CB29" i="6"/>
  <c r="CA29" i="6"/>
  <c r="BZ29" i="6"/>
  <c r="BY29" i="6"/>
  <c r="BX29" i="6"/>
  <c r="BW29" i="6"/>
  <c r="BV29" i="6"/>
  <c r="BU29" i="6"/>
  <c r="BT29" i="6"/>
  <c r="BS29" i="6"/>
  <c r="BR29" i="6"/>
  <c r="BQ29" i="6"/>
  <c r="BP29" i="6"/>
  <c r="BO29" i="6"/>
  <c r="BM29" i="6"/>
  <c r="BL29" i="6"/>
  <c r="BK29" i="6"/>
  <c r="BJ29" i="6"/>
  <c r="BI29" i="6"/>
  <c r="BH29" i="6"/>
  <c r="BG29" i="6"/>
  <c r="BF29" i="6"/>
  <c r="BE29" i="6"/>
  <c r="BD29" i="6"/>
  <c r="BC29" i="6"/>
  <c r="BB29" i="6"/>
  <c r="BA29" i="6"/>
  <c r="AZ29" i="6"/>
  <c r="AY29" i="6"/>
  <c r="AX29" i="6"/>
  <c r="AW29" i="6"/>
  <c r="AV29" i="6"/>
  <c r="AU29" i="6"/>
  <c r="AT29" i="6"/>
  <c r="AS29" i="6"/>
  <c r="AR29" i="6"/>
  <c r="AQ29" i="6"/>
  <c r="AP29" i="6"/>
  <c r="AO29" i="6"/>
  <c r="AN29" i="6"/>
  <c r="AM29" i="6"/>
  <c r="AL29" i="6"/>
  <c r="AJ29" i="6"/>
  <c r="AI29" i="6"/>
  <c r="AH29" i="6"/>
  <c r="AG29" i="6"/>
  <c r="AF29" i="6"/>
  <c r="AE29" i="6"/>
  <c r="AD29" i="6"/>
  <c r="AC29" i="6"/>
  <c r="AB29" i="6"/>
  <c r="AA29" i="6"/>
  <c r="Z29" i="6"/>
  <c r="Y29" i="6"/>
  <c r="X29" i="6"/>
  <c r="W29" i="6"/>
  <c r="V29" i="6"/>
  <c r="U29" i="6"/>
  <c r="T29" i="6"/>
  <c r="S29" i="6"/>
  <c r="R29" i="6"/>
  <c r="Q29" i="6"/>
  <c r="P29" i="6"/>
  <c r="O29" i="6"/>
  <c r="N29" i="6"/>
  <c r="M29" i="6"/>
  <c r="ED28" i="6"/>
  <c r="EC28" i="6"/>
  <c r="EB28" i="6"/>
  <c r="EA28" i="6"/>
  <c r="DZ28" i="6"/>
  <c r="DY28" i="6"/>
  <c r="DX28" i="6"/>
  <c r="DW28" i="6"/>
  <c r="DV28" i="6"/>
  <c r="DU28" i="6"/>
  <c r="DT28" i="6"/>
  <c r="DS28" i="6"/>
  <c r="DR28" i="6"/>
  <c r="DQ28" i="6"/>
  <c r="DP28" i="6"/>
  <c r="DO28" i="6"/>
  <c r="DN28" i="6"/>
  <c r="DM28" i="6"/>
  <c r="DL28" i="6"/>
  <c r="DK28" i="6"/>
  <c r="DJ28" i="6"/>
  <c r="DI28" i="6"/>
  <c r="DH28" i="6"/>
  <c r="DG28" i="6"/>
  <c r="DF28" i="6"/>
  <c r="DE28" i="6"/>
  <c r="DD28" i="6"/>
  <c r="DC28" i="6"/>
  <c r="DB28" i="6"/>
  <c r="DA28" i="6"/>
  <c r="CZ28" i="6"/>
  <c r="CY28" i="6"/>
  <c r="CX28" i="6"/>
  <c r="CW28" i="6"/>
  <c r="CV28" i="6"/>
  <c r="CU28" i="6"/>
  <c r="CT28" i="6"/>
  <c r="CS28" i="6"/>
  <c r="CR28" i="6"/>
  <c r="CQ28" i="6"/>
  <c r="CP28" i="6"/>
  <c r="CO28" i="6"/>
  <c r="CN28" i="6"/>
  <c r="CM28" i="6"/>
  <c r="CL28" i="6"/>
  <c r="CK28" i="6"/>
  <c r="CJ28" i="6"/>
  <c r="CI28" i="6"/>
  <c r="CH28" i="6"/>
  <c r="CG28" i="6"/>
  <c r="CF28" i="6"/>
  <c r="CE28" i="6"/>
  <c r="CD28" i="6"/>
  <c r="CC28" i="6"/>
  <c r="CB28" i="6"/>
  <c r="CA28" i="6"/>
  <c r="BZ28" i="6"/>
  <c r="BY28" i="6"/>
  <c r="BX28" i="6"/>
  <c r="BW28" i="6"/>
  <c r="BV28" i="6"/>
  <c r="BU28" i="6"/>
  <c r="BT28" i="6"/>
  <c r="BS28" i="6"/>
  <c r="BR28" i="6"/>
  <c r="BQ28" i="6"/>
  <c r="BP28" i="6"/>
  <c r="BO28" i="6"/>
  <c r="BM28" i="6"/>
  <c r="BL28" i="6"/>
  <c r="BK28" i="6"/>
  <c r="BJ28" i="6"/>
  <c r="BI28" i="6"/>
  <c r="BH28" i="6"/>
  <c r="BG28" i="6"/>
  <c r="BF28" i="6"/>
  <c r="BE28" i="6"/>
  <c r="BD28" i="6"/>
  <c r="BC28" i="6"/>
  <c r="BB28" i="6"/>
  <c r="BA28" i="6"/>
  <c r="AZ28" i="6"/>
  <c r="AY28" i="6"/>
  <c r="AX28" i="6"/>
  <c r="AW28" i="6"/>
  <c r="AV28" i="6"/>
  <c r="AU28" i="6"/>
  <c r="AT28" i="6"/>
  <c r="AS28" i="6"/>
  <c r="AR28" i="6"/>
  <c r="AQ28" i="6"/>
  <c r="AP28" i="6"/>
  <c r="AO28" i="6"/>
  <c r="AN28" i="6"/>
  <c r="AM28" i="6"/>
  <c r="AL28" i="6"/>
  <c r="AJ28" i="6"/>
  <c r="AI28" i="6"/>
  <c r="AH28" i="6"/>
  <c r="AG28" i="6"/>
  <c r="AF28" i="6"/>
  <c r="AE28" i="6"/>
  <c r="AD28" i="6"/>
  <c r="AC28" i="6"/>
  <c r="AB28" i="6"/>
  <c r="AA28" i="6"/>
  <c r="Z28" i="6"/>
  <c r="Y28" i="6"/>
  <c r="X28" i="6"/>
  <c r="W28" i="6"/>
  <c r="V28" i="6"/>
  <c r="U28" i="6"/>
  <c r="T28" i="6"/>
  <c r="S28" i="6"/>
  <c r="R28" i="6"/>
  <c r="Q28" i="6"/>
  <c r="P28" i="6"/>
  <c r="O28" i="6"/>
  <c r="N28" i="6"/>
  <c r="M28" i="6"/>
  <c r="ED27" i="6"/>
  <c r="EC27" i="6"/>
  <c r="EB27" i="6"/>
  <c r="EA27" i="6"/>
  <c r="DZ27" i="6"/>
  <c r="DY27" i="6"/>
  <c r="DX27" i="6"/>
  <c r="DW27" i="6"/>
  <c r="DV27" i="6"/>
  <c r="DU27" i="6"/>
  <c r="DT27" i="6"/>
  <c r="DS27" i="6"/>
  <c r="DR27" i="6"/>
  <c r="DQ27" i="6"/>
  <c r="DP27" i="6"/>
  <c r="DO27" i="6"/>
  <c r="DN27" i="6"/>
  <c r="DM27" i="6"/>
  <c r="DL27" i="6"/>
  <c r="DK27" i="6"/>
  <c r="DJ27" i="6"/>
  <c r="DI27" i="6"/>
  <c r="DH27" i="6"/>
  <c r="DG27" i="6"/>
  <c r="DF27" i="6"/>
  <c r="DE27" i="6"/>
  <c r="DD27" i="6"/>
  <c r="DC27" i="6"/>
  <c r="DB27" i="6"/>
  <c r="DA27" i="6"/>
  <c r="CZ27" i="6"/>
  <c r="CY27" i="6"/>
  <c r="CX27" i="6"/>
  <c r="CW27" i="6"/>
  <c r="CV27" i="6"/>
  <c r="CU27" i="6"/>
  <c r="CT27" i="6"/>
  <c r="CS27" i="6"/>
  <c r="CR27" i="6"/>
  <c r="CQ27" i="6"/>
  <c r="CP27" i="6"/>
  <c r="CO27" i="6"/>
  <c r="CN27" i="6"/>
  <c r="CM27" i="6"/>
  <c r="CL27" i="6"/>
  <c r="CK27" i="6"/>
  <c r="CJ27" i="6"/>
  <c r="CI27" i="6"/>
  <c r="CH27" i="6"/>
  <c r="CG27" i="6"/>
  <c r="CF27" i="6"/>
  <c r="CE27" i="6"/>
  <c r="CD27" i="6"/>
  <c r="CC27" i="6"/>
  <c r="CB27" i="6"/>
  <c r="CA27" i="6"/>
  <c r="BZ27" i="6"/>
  <c r="BY27" i="6"/>
  <c r="BX27" i="6"/>
  <c r="BW27" i="6"/>
  <c r="BV27" i="6"/>
  <c r="BU27" i="6"/>
  <c r="BT27" i="6"/>
  <c r="BS27" i="6"/>
  <c r="BR27" i="6"/>
  <c r="BQ27" i="6"/>
  <c r="BP27" i="6"/>
  <c r="BO27" i="6"/>
  <c r="BM27" i="6"/>
  <c r="BL27" i="6"/>
  <c r="BK27" i="6"/>
  <c r="BJ27" i="6"/>
  <c r="BI27" i="6"/>
  <c r="BH27" i="6"/>
  <c r="BG27" i="6"/>
  <c r="BF27" i="6"/>
  <c r="BE27" i="6"/>
  <c r="BD27" i="6"/>
  <c r="BC27" i="6"/>
  <c r="BB27" i="6"/>
  <c r="BA27" i="6"/>
  <c r="AZ27" i="6"/>
  <c r="AY27" i="6"/>
  <c r="AX27" i="6"/>
  <c r="AW27" i="6"/>
  <c r="AV27" i="6"/>
  <c r="AU27" i="6"/>
  <c r="AT27" i="6"/>
  <c r="AS27" i="6"/>
  <c r="AR27" i="6"/>
  <c r="AQ27" i="6"/>
  <c r="AP27" i="6"/>
  <c r="AO27" i="6"/>
  <c r="AN27" i="6"/>
  <c r="AM27" i="6"/>
  <c r="AL27" i="6"/>
  <c r="AJ27" i="6"/>
  <c r="AI27" i="6"/>
  <c r="AH27" i="6"/>
  <c r="AG27" i="6"/>
  <c r="AF27" i="6"/>
  <c r="AE27" i="6"/>
  <c r="AD27" i="6"/>
  <c r="AC27" i="6"/>
  <c r="AB27" i="6"/>
  <c r="AA27" i="6"/>
  <c r="Z27" i="6"/>
  <c r="Y27" i="6"/>
  <c r="X27" i="6"/>
  <c r="W27" i="6"/>
  <c r="V27" i="6"/>
  <c r="U27" i="6"/>
  <c r="T27" i="6"/>
  <c r="S27" i="6"/>
  <c r="R27" i="6"/>
  <c r="Q27" i="6"/>
  <c r="P27" i="6"/>
  <c r="O27" i="6"/>
  <c r="N27" i="6"/>
  <c r="M27" i="6"/>
  <c r="ED26" i="6"/>
  <c r="EC26" i="6"/>
  <c r="EB26" i="6"/>
  <c r="EA26" i="6"/>
  <c r="DZ26" i="6"/>
  <c r="DY26" i="6"/>
  <c r="DX26" i="6"/>
  <c r="DW26" i="6"/>
  <c r="DV26" i="6"/>
  <c r="DU26" i="6"/>
  <c r="DT26" i="6"/>
  <c r="DS26" i="6"/>
  <c r="DR26" i="6"/>
  <c r="DQ26" i="6"/>
  <c r="DP26" i="6"/>
  <c r="DO26" i="6"/>
  <c r="DN26" i="6"/>
  <c r="DM26" i="6"/>
  <c r="DL26" i="6"/>
  <c r="DK26" i="6"/>
  <c r="DJ26" i="6"/>
  <c r="DI26" i="6"/>
  <c r="DH26" i="6"/>
  <c r="DG26" i="6"/>
  <c r="DF26" i="6"/>
  <c r="DE26" i="6"/>
  <c r="DD26" i="6"/>
  <c r="DC26" i="6"/>
  <c r="DB26" i="6"/>
  <c r="DA26" i="6"/>
  <c r="CZ26" i="6"/>
  <c r="CY26" i="6"/>
  <c r="CX26" i="6"/>
  <c r="CW26" i="6"/>
  <c r="CV26" i="6"/>
  <c r="CU26" i="6"/>
  <c r="CT26" i="6"/>
  <c r="CS26" i="6"/>
  <c r="CR26" i="6"/>
  <c r="CQ26" i="6"/>
  <c r="CP26" i="6"/>
  <c r="CO26" i="6"/>
  <c r="CN26" i="6"/>
  <c r="CM26" i="6"/>
  <c r="CL26" i="6"/>
  <c r="CK26" i="6"/>
  <c r="CJ26" i="6"/>
  <c r="CI26" i="6"/>
  <c r="CH26" i="6"/>
  <c r="CG26" i="6"/>
  <c r="CF26" i="6"/>
  <c r="CE26" i="6"/>
  <c r="CD26" i="6"/>
  <c r="CC26" i="6"/>
  <c r="CB26" i="6"/>
  <c r="CA26" i="6"/>
  <c r="BZ26" i="6"/>
  <c r="BY26" i="6"/>
  <c r="BX26" i="6"/>
  <c r="BW26" i="6"/>
  <c r="BV26" i="6"/>
  <c r="BU26" i="6"/>
  <c r="BT26" i="6"/>
  <c r="BS26" i="6"/>
  <c r="BR26" i="6"/>
  <c r="BQ26" i="6"/>
  <c r="BP26" i="6"/>
  <c r="BO26" i="6"/>
  <c r="BM26" i="6"/>
  <c r="BL26" i="6"/>
  <c r="BK26" i="6"/>
  <c r="BJ26" i="6"/>
  <c r="BI26" i="6"/>
  <c r="BH26" i="6"/>
  <c r="BG26" i="6"/>
  <c r="BF26" i="6"/>
  <c r="BE26" i="6"/>
  <c r="BD26" i="6"/>
  <c r="BC26" i="6"/>
  <c r="BB26" i="6"/>
  <c r="BA26" i="6"/>
  <c r="AZ26" i="6"/>
  <c r="AY26" i="6"/>
  <c r="AX26" i="6"/>
  <c r="AW26" i="6"/>
  <c r="AV26" i="6"/>
  <c r="AU26" i="6"/>
  <c r="AT26" i="6"/>
  <c r="AS26" i="6"/>
  <c r="AR26" i="6"/>
  <c r="AQ26" i="6"/>
  <c r="AP26" i="6"/>
  <c r="AO26" i="6"/>
  <c r="AN26" i="6"/>
  <c r="AM26" i="6"/>
  <c r="AL26" i="6"/>
  <c r="AJ26" i="6"/>
  <c r="AI26" i="6"/>
  <c r="AH26" i="6"/>
  <c r="AG26" i="6"/>
  <c r="AF26" i="6"/>
  <c r="AE26" i="6"/>
  <c r="AD26" i="6"/>
  <c r="AC26" i="6"/>
  <c r="AB26" i="6"/>
  <c r="AA26" i="6"/>
  <c r="Z26" i="6"/>
  <c r="Y26" i="6"/>
  <c r="X26" i="6"/>
  <c r="W26" i="6"/>
  <c r="V26" i="6"/>
  <c r="U26" i="6"/>
  <c r="T26" i="6"/>
  <c r="S26" i="6"/>
  <c r="R26" i="6"/>
  <c r="Q26" i="6"/>
  <c r="P26" i="6"/>
  <c r="O26" i="6"/>
  <c r="N26" i="6"/>
  <c r="M26" i="6"/>
  <c r="L26" i="6"/>
  <c r="J26" i="6"/>
  <c r="F26" i="6"/>
  <c r="E26" i="6"/>
  <c r="ED25" i="6"/>
  <c r="EC25" i="6"/>
  <c r="EB25" i="6"/>
  <c r="EA25" i="6"/>
  <c r="DZ25" i="6"/>
  <c r="DY25" i="6"/>
  <c r="DX25" i="6"/>
  <c r="DW25" i="6"/>
  <c r="DV25" i="6"/>
  <c r="DU25" i="6"/>
  <c r="DT25" i="6"/>
  <c r="DS25" i="6"/>
  <c r="DR25" i="6"/>
  <c r="DQ25" i="6"/>
  <c r="DP25" i="6"/>
  <c r="DO25" i="6"/>
  <c r="DN25" i="6"/>
  <c r="DM25" i="6"/>
  <c r="DL25" i="6"/>
  <c r="DK25" i="6"/>
  <c r="DJ25" i="6"/>
  <c r="DI25" i="6"/>
  <c r="DH25" i="6"/>
  <c r="DG25" i="6"/>
  <c r="DF25" i="6"/>
  <c r="DE25" i="6"/>
  <c r="DD25" i="6"/>
  <c r="DC25" i="6"/>
  <c r="DB25" i="6"/>
  <c r="DA25" i="6"/>
  <c r="CZ25" i="6"/>
  <c r="CY25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J25" i="6"/>
  <c r="F25" i="6"/>
  <c r="E25" i="6"/>
  <c r="ED24" i="6"/>
  <c r="EC24" i="6"/>
  <c r="EB24" i="6"/>
  <c r="EA24" i="6"/>
  <c r="DZ24" i="6"/>
  <c r="DY24" i="6"/>
  <c r="DX24" i="6"/>
  <c r="DW24" i="6"/>
  <c r="DV24" i="6"/>
  <c r="DU24" i="6"/>
  <c r="DT24" i="6"/>
  <c r="DS24" i="6"/>
  <c r="DR24" i="6"/>
  <c r="DQ24" i="6"/>
  <c r="DP24" i="6"/>
  <c r="DO24" i="6"/>
  <c r="DN24" i="6"/>
  <c r="DM24" i="6"/>
  <c r="DL24" i="6"/>
  <c r="DK24" i="6"/>
  <c r="DJ24" i="6"/>
  <c r="DI24" i="6"/>
  <c r="DH24" i="6"/>
  <c r="DG24" i="6"/>
  <c r="DF24" i="6"/>
  <c r="DE24" i="6"/>
  <c r="DD24" i="6"/>
  <c r="DC24" i="6"/>
  <c r="DB24" i="6"/>
  <c r="DA24" i="6"/>
  <c r="CZ24" i="6"/>
  <c r="CY24" i="6"/>
  <c r="CX24" i="6"/>
  <c r="CW24" i="6"/>
  <c r="CV24" i="6"/>
  <c r="CU24" i="6"/>
  <c r="CT24" i="6"/>
  <c r="CS24" i="6"/>
  <c r="CR24" i="6"/>
  <c r="CQ24" i="6"/>
  <c r="CP24" i="6"/>
  <c r="CO24" i="6"/>
  <c r="CN24" i="6"/>
  <c r="CM24" i="6"/>
  <c r="CL24" i="6"/>
  <c r="CK24" i="6"/>
  <c r="CJ24" i="6"/>
  <c r="CI24" i="6"/>
  <c r="CH24" i="6"/>
  <c r="CG24" i="6"/>
  <c r="CF24" i="6"/>
  <c r="CE24" i="6"/>
  <c r="CD24" i="6"/>
  <c r="CC24" i="6"/>
  <c r="CB24" i="6"/>
  <c r="CA24" i="6"/>
  <c r="BZ24" i="6"/>
  <c r="BY24" i="6"/>
  <c r="BX24" i="6"/>
  <c r="BW24" i="6"/>
  <c r="BV24" i="6"/>
  <c r="BU24" i="6"/>
  <c r="BT24" i="6"/>
  <c r="BS24" i="6"/>
  <c r="BR24" i="6"/>
  <c r="BQ24" i="6"/>
  <c r="BP24" i="6"/>
  <c r="BO24" i="6"/>
  <c r="BM24" i="6"/>
  <c r="BL24" i="6"/>
  <c r="BK24" i="6"/>
  <c r="BJ24" i="6"/>
  <c r="BI24" i="6"/>
  <c r="BH24" i="6"/>
  <c r="BG24" i="6"/>
  <c r="BF24" i="6"/>
  <c r="BE24" i="6"/>
  <c r="BD24" i="6"/>
  <c r="BC24" i="6"/>
  <c r="BB24" i="6"/>
  <c r="BA24" i="6"/>
  <c r="AZ24" i="6"/>
  <c r="AY24" i="6"/>
  <c r="AX24" i="6"/>
  <c r="AW24" i="6"/>
  <c r="AV24" i="6"/>
  <c r="AU24" i="6"/>
  <c r="AT24" i="6"/>
  <c r="AS24" i="6"/>
  <c r="AR24" i="6"/>
  <c r="AQ24" i="6"/>
  <c r="AP24" i="6"/>
  <c r="AO24" i="6"/>
  <c r="AN24" i="6"/>
  <c r="AM24" i="6"/>
  <c r="AL24" i="6"/>
  <c r="AJ24" i="6"/>
  <c r="AI24" i="6"/>
  <c r="AH24" i="6"/>
  <c r="AG24" i="6"/>
  <c r="AF24" i="6"/>
  <c r="AE24" i="6"/>
  <c r="AD24" i="6"/>
  <c r="AC24" i="6"/>
  <c r="AB24" i="6"/>
  <c r="AA24" i="6"/>
  <c r="Z24" i="6"/>
  <c r="Y24" i="6"/>
  <c r="X24" i="6"/>
  <c r="W24" i="6"/>
  <c r="V24" i="6"/>
  <c r="U24" i="6"/>
  <c r="T24" i="6"/>
  <c r="S24" i="6"/>
  <c r="R24" i="6"/>
  <c r="Q24" i="6"/>
  <c r="P24" i="6"/>
  <c r="O24" i="6"/>
  <c r="N24" i="6"/>
  <c r="M24" i="6"/>
  <c r="L24" i="6"/>
  <c r="J24" i="6"/>
  <c r="F24" i="6"/>
  <c r="E24" i="6"/>
  <c r="ED23" i="6"/>
  <c r="EC23" i="6"/>
  <c r="EB23" i="6"/>
  <c r="EA23" i="6"/>
  <c r="DZ23" i="6"/>
  <c r="DY23" i="6"/>
  <c r="DX23" i="6"/>
  <c r="DW23" i="6"/>
  <c r="DV23" i="6"/>
  <c r="DU23" i="6"/>
  <c r="DT23" i="6"/>
  <c r="DS23" i="6"/>
  <c r="DR23" i="6"/>
  <c r="DQ23" i="6"/>
  <c r="DP23" i="6"/>
  <c r="DO23" i="6"/>
  <c r="DN23" i="6"/>
  <c r="DM23" i="6"/>
  <c r="DL23" i="6"/>
  <c r="DK23" i="6"/>
  <c r="DJ23" i="6"/>
  <c r="DI23" i="6"/>
  <c r="DH23" i="6"/>
  <c r="DG23" i="6"/>
  <c r="DF23" i="6"/>
  <c r="DE23" i="6"/>
  <c r="DD23" i="6"/>
  <c r="DC23" i="6"/>
  <c r="DB23" i="6"/>
  <c r="DA23" i="6"/>
  <c r="CZ23" i="6"/>
  <c r="CY23" i="6"/>
  <c r="CX23" i="6"/>
  <c r="CW23" i="6"/>
  <c r="CV23" i="6"/>
  <c r="CU23" i="6"/>
  <c r="CT23" i="6"/>
  <c r="CS23" i="6"/>
  <c r="CR23" i="6"/>
  <c r="CQ23" i="6"/>
  <c r="CP23" i="6"/>
  <c r="CO23" i="6"/>
  <c r="CN23" i="6"/>
  <c r="CM23" i="6"/>
  <c r="CL23" i="6"/>
  <c r="CK23" i="6"/>
  <c r="CJ23" i="6"/>
  <c r="CI23" i="6"/>
  <c r="CH23" i="6"/>
  <c r="CG23" i="6"/>
  <c r="CF23" i="6"/>
  <c r="CE23" i="6"/>
  <c r="CD23" i="6"/>
  <c r="CC23" i="6"/>
  <c r="CB23" i="6"/>
  <c r="CA23" i="6"/>
  <c r="BZ23" i="6"/>
  <c r="BY23" i="6"/>
  <c r="BX23" i="6"/>
  <c r="BW23" i="6"/>
  <c r="BV23" i="6"/>
  <c r="BU23" i="6"/>
  <c r="BT23" i="6"/>
  <c r="BS23" i="6"/>
  <c r="BR23" i="6"/>
  <c r="BQ23" i="6"/>
  <c r="BP23" i="6"/>
  <c r="BO23" i="6"/>
  <c r="BM23" i="6"/>
  <c r="BL23" i="6"/>
  <c r="BK23" i="6"/>
  <c r="BJ23" i="6"/>
  <c r="BI23" i="6"/>
  <c r="BH23" i="6"/>
  <c r="BG23" i="6"/>
  <c r="BF23" i="6"/>
  <c r="BE23" i="6"/>
  <c r="BD23" i="6"/>
  <c r="BC23" i="6"/>
  <c r="BB23" i="6"/>
  <c r="BA23" i="6"/>
  <c r="AZ23" i="6"/>
  <c r="AY23" i="6"/>
  <c r="AX23" i="6"/>
  <c r="AW23" i="6"/>
  <c r="AV23" i="6"/>
  <c r="AU23" i="6"/>
  <c r="AT23" i="6"/>
  <c r="AS23" i="6"/>
  <c r="AR23" i="6"/>
  <c r="AQ23" i="6"/>
  <c r="AP23" i="6"/>
  <c r="AO23" i="6"/>
  <c r="AN23" i="6"/>
  <c r="AM23" i="6"/>
  <c r="AL23" i="6"/>
  <c r="AJ23" i="6"/>
  <c r="AI23" i="6"/>
  <c r="AH23" i="6"/>
  <c r="AG23" i="6"/>
  <c r="AF23" i="6"/>
  <c r="AE23" i="6"/>
  <c r="AD23" i="6"/>
  <c r="AC23" i="6"/>
  <c r="AB23" i="6"/>
  <c r="AA23" i="6"/>
  <c r="Z23" i="6"/>
  <c r="Y23" i="6"/>
  <c r="X23" i="6"/>
  <c r="W23" i="6"/>
  <c r="V23" i="6"/>
  <c r="U23" i="6"/>
  <c r="T23" i="6"/>
  <c r="S23" i="6"/>
  <c r="R23" i="6"/>
  <c r="Q23" i="6"/>
  <c r="P23" i="6"/>
  <c r="O23" i="6"/>
  <c r="N23" i="6"/>
  <c r="M23" i="6"/>
  <c r="L23" i="6"/>
  <c r="J23" i="6"/>
  <c r="F23" i="6"/>
  <c r="E23" i="6"/>
  <c r="ED22" i="6"/>
  <c r="EC22" i="6"/>
  <c r="EB22" i="6"/>
  <c r="EA22" i="6"/>
  <c r="DZ22" i="6"/>
  <c r="DY22" i="6"/>
  <c r="DX22" i="6"/>
  <c r="DW22" i="6"/>
  <c r="DV22" i="6"/>
  <c r="DU22" i="6"/>
  <c r="DT22" i="6"/>
  <c r="DS22" i="6"/>
  <c r="DR22" i="6"/>
  <c r="DQ22" i="6"/>
  <c r="DP22" i="6"/>
  <c r="DO22" i="6"/>
  <c r="DN22" i="6"/>
  <c r="DM22" i="6"/>
  <c r="DL22" i="6"/>
  <c r="DK22" i="6"/>
  <c r="DJ22" i="6"/>
  <c r="DI22" i="6"/>
  <c r="DH22" i="6"/>
  <c r="DG22" i="6"/>
  <c r="DF22" i="6"/>
  <c r="DE22" i="6"/>
  <c r="DD22" i="6"/>
  <c r="DC22" i="6"/>
  <c r="DB22" i="6"/>
  <c r="DA22" i="6"/>
  <c r="CZ22" i="6"/>
  <c r="CY22" i="6"/>
  <c r="CX22" i="6"/>
  <c r="CW22" i="6"/>
  <c r="CV22" i="6"/>
  <c r="CU22" i="6"/>
  <c r="CT22" i="6"/>
  <c r="CS22" i="6"/>
  <c r="CR22" i="6"/>
  <c r="CQ22" i="6"/>
  <c r="CP22" i="6"/>
  <c r="CO22" i="6"/>
  <c r="CN22" i="6"/>
  <c r="CM22" i="6"/>
  <c r="CL22" i="6"/>
  <c r="CK22" i="6"/>
  <c r="CJ22" i="6"/>
  <c r="CI22" i="6"/>
  <c r="CH22" i="6"/>
  <c r="CG22" i="6"/>
  <c r="CF22" i="6"/>
  <c r="CE22" i="6"/>
  <c r="CD22" i="6"/>
  <c r="CC22" i="6"/>
  <c r="CB22" i="6"/>
  <c r="CA22" i="6"/>
  <c r="BZ22" i="6"/>
  <c r="BY22" i="6"/>
  <c r="BX22" i="6"/>
  <c r="BW22" i="6"/>
  <c r="BV22" i="6"/>
  <c r="BU22" i="6"/>
  <c r="BT22" i="6"/>
  <c r="BS22" i="6"/>
  <c r="BR22" i="6"/>
  <c r="BQ22" i="6"/>
  <c r="BP22" i="6"/>
  <c r="BO22" i="6"/>
  <c r="BM22" i="6"/>
  <c r="BL22" i="6"/>
  <c r="BK22" i="6"/>
  <c r="BJ22" i="6"/>
  <c r="BI22" i="6"/>
  <c r="BH22" i="6"/>
  <c r="BG22" i="6"/>
  <c r="BF22" i="6"/>
  <c r="BE22" i="6"/>
  <c r="BD22" i="6"/>
  <c r="BC22" i="6"/>
  <c r="BB22" i="6"/>
  <c r="BA22" i="6"/>
  <c r="AZ22" i="6"/>
  <c r="AY22" i="6"/>
  <c r="AX22" i="6"/>
  <c r="AW22" i="6"/>
  <c r="AV22" i="6"/>
  <c r="AU22" i="6"/>
  <c r="AT22" i="6"/>
  <c r="AS22" i="6"/>
  <c r="AR22" i="6"/>
  <c r="AQ22" i="6"/>
  <c r="AP22" i="6"/>
  <c r="AO22" i="6"/>
  <c r="AN22" i="6"/>
  <c r="AM22" i="6"/>
  <c r="AL22" i="6"/>
  <c r="AJ22" i="6"/>
  <c r="AI22" i="6"/>
  <c r="AH22" i="6"/>
  <c r="AG22" i="6"/>
  <c r="AF22" i="6"/>
  <c r="AE22" i="6"/>
  <c r="AD22" i="6"/>
  <c r="AC22" i="6"/>
  <c r="AB22" i="6"/>
  <c r="AA22" i="6"/>
  <c r="Z22" i="6"/>
  <c r="Y22" i="6"/>
  <c r="X22" i="6"/>
  <c r="W22" i="6"/>
  <c r="V22" i="6"/>
  <c r="U22" i="6"/>
  <c r="T22" i="6"/>
  <c r="S22" i="6"/>
  <c r="R22" i="6"/>
  <c r="Q22" i="6"/>
  <c r="P22" i="6"/>
  <c r="O22" i="6"/>
  <c r="N22" i="6"/>
  <c r="M22" i="6"/>
  <c r="L22" i="6"/>
  <c r="J22" i="6"/>
  <c r="F22" i="6"/>
  <c r="E22" i="6"/>
  <c r="ED21" i="6"/>
  <c r="EC21" i="6"/>
  <c r="EB21" i="6"/>
  <c r="EA21" i="6"/>
  <c r="DZ21" i="6"/>
  <c r="DY21" i="6"/>
  <c r="DX21" i="6"/>
  <c r="DW21" i="6"/>
  <c r="DV21" i="6"/>
  <c r="DU21" i="6"/>
  <c r="DT21" i="6"/>
  <c r="DS21" i="6"/>
  <c r="DR21" i="6"/>
  <c r="DQ21" i="6"/>
  <c r="DP21" i="6"/>
  <c r="DO21" i="6"/>
  <c r="DN21" i="6"/>
  <c r="DM21" i="6"/>
  <c r="DL21" i="6"/>
  <c r="DK21" i="6"/>
  <c r="DJ21" i="6"/>
  <c r="DI21" i="6"/>
  <c r="DH21" i="6"/>
  <c r="DG21" i="6"/>
  <c r="DF21" i="6"/>
  <c r="DE21" i="6"/>
  <c r="DD21" i="6"/>
  <c r="DC21" i="6"/>
  <c r="DB21" i="6"/>
  <c r="DA21" i="6"/>
  <c r="CZ21" i="6"/>
  <c r="CY21" i="6"/>
  <c r="CX21" i="6"/>
  <c r="CW21" i="6"/>
  <c r="CV21" i="6"/>
  <c r="CU21" i="6"/>
  <c r="CT21" i="6"/>
  <c r="CS21" i="6"/>
  <c r="CR21" i="6"/>
  <c r="CQ21" i="6"/>
  <c r="CP21" i="6"/>
  <c r="CO21" i="6"/>
  <c r="CN21" i="6"/>
  <c r="CM21" i="6"/>
  <c r="CL21" i="6"/>
  <c r="CK21" i="6"/>
  <c r="CJ21" i="6"/>
  <c r="CI21" i="6"/>
  <c r="CH21" i="6"/>
  <c r="CG21" i="6"/>
  <c r="CF21" i="6"/>
  <c r="CE21" i="6"/>
  <c r="CD21" i="6"/>
  <c r="CC21" i="6"/>
  <c r="CB21" i="6"/>
  <c r="CA21" i="6"/>
  <c r="BZ21" i="6"/>
  <c r="BY21" i="6"/>
  <c r="BX21" i="6"/>
  <c r="BW21" i="6"/>
  <c r="BV21" i="6"/>
  <c r="BU21" i="6"/>
  <c r="BT21" i="6"/>
  <c r="BS21" i="6"/>
  <c r="BR21" i="6"/>
  <c r="BQ21" i="6"/>
  <c r="BP21" i="6"/>
  <c r="BO21" i="6"/>
  <c r="BM21" i="6"/>
  <c r="BL21" i="6"/>
  <c r="BK21" i="6"/>
  <c r="BJ21" i="6"/>
  <c r="BI21" i="6"/>
  <c r="BH21" i="6"/>
  <c r="BG21" i="6"/>
  <c r="BF21" i="6"/>
  <c r="BE21" i="6"/>
  <c r="BD21" i="6"/>
  <c r="BC21" i="6"/>
  <c r="BB21" i="6"/>
  <c r="BA21" i="6"/>
  <c r="AZ21" i="6"/>
  <c r="AY21" i="6"/>
  <c r="AX21" i="6"/>
  <c r="AW21" i="6"/>
  <c r="AV21" i="6"/>
  <c r="AU21" i="6"/>
  <c r="AT21" i="6"/>
  <c r="AS21" i="6"/>
  <c r="AR21" i="6"/>
  <c r="AQ21" i="6"/>
  <c r="AP21" i="6"/>
  <c r="AO21" i="6"/>
  <c r="AN21" i="6"/>
  <c r="AM21" i="6"/>
  <c r="AL21" i="6"/>
  <c r="AJ21" i="6"/>
  <c r="AI21" i="6"/>
  <c r="AH21" i="6"/>
  <c r="AG21" i="6"/>
  <c r="AF21" i="6"/>
  <c r="AE21" i="6"/>
  <c r="AD21" i="6"/>
  <c r="AC21" i="6"/>
  <c r="AB21" i="6"/>
  <c r="AA21" i="6"/>
  <c r="Z21" i="6"/>
  <c r="Y21" i="6"/>
  <c r="X21" i="6"/>
  <c r="W21" i="6"/>
  <c r="V21" i="6"/>
  <c r="U21" i="6"/>
  <c r="T21" i="6"/>
  <c r="S21" i="6"/>
  <c r="R21" i="6"/>
  <c r="Q21" i="6"/>
  <c r="P21" i="6"/>
  <c r="O21" i="6"/>
  <c r="N21" i="6"/>
  <c r="M21" i="6"/>
  <c r="L21" i="6"/>
  <c r="J21" i="6"/>
  <c r="F21" i="6"/>
  <c r="E21" i="6"/>
  <c r="ED20" i="6"/>
  <c r="EC20" i="6"/>
  <c r="EB20" i="6"/>
  <c r="EA20" i="6"/>
  <c r="DZ20" i="6"/>
  <c r="DY20" i="6"/>
  <c r="DX20" i="6"/>
  <c r="DW20" i="6"/>
  <c r="DV20" i="6"/>
  <c r="DU20" i="6"/>
  <c r="DT20" i="6"/>
  <c r="DS20" i="6"/>
  <c r="DR20" i="6"/>
  <c r="DQ20" i="6"/>
  <c r="DP20" i="6"/>
  <c r="DO20" i="6"/>
  <c r="DN20" i="6"/>
  <c r="DM20" i="6"/>
  <c r="DL20" i="6"/>
  <c r="DK20" i="6"/>
  <c r="DJ20" i="6"/>
  <c r="DI20" i="6"/>
  <c r="DH20" i="6"/>
  <c r="DG20" i="6"/>
  <c r="DF20" i="6"/>
  <c r="DE20" i="6"/>
  <c r="DD20" i="6"/>
  <c r="DC20" i="6"/>
  <c r="DB20" i="6"/>
  <c r="DA20" i="6"/>
  <c r="CZ20" i="6"/>
  <c r="CY20" i="6"/>
  <c r="CX20" i="6"/>
  <c r="CW20" i="6"/>
  <c r="CV20" i="6"/>
  <c r="CU20" i="6"/>
  <c r="CT20" i="6"/>
  <c r="CS20" i="6"/>
  <c r="CR20" i="6"/>
  <c r="CQ20" i="6"/>
  <c r="CP20" i="6"/>
  <c r="CO20" i="6"/>
  <c r="CN20" i="6"/>
  <c r="CM20" i="6"/>
  <c r="CL20" i="6"/>
  <c r="CK20" i="6"/>
  <c r="CJ20" i="6"/>
  <c r="CI20" i="6"/>
  <c r="CH20" i="6"/>
  <c r="CG20" i="6"/>
  <c r="CF20" i="6"/>
  <c r="CE20" i="6"/>
  <c r="CD20" i="6"/>
  <c r="CC20" i="6"/>
  <c r="CB20" i="6"/>
  <c r="CA20" i="6"/>
  <c r="BZ20" i="6"/>
  <c r="BY20" i="6"/>
  <c r="BX20" i="6"/>
  <c r="BW20" i="6"/>
  <c r="BV20" i="6"/>
  <c r="BU20" i="6"/>
  <c r="BT20" i="6"/>
  <c r="BS20" i="6"/>
  <c r="BR20" i="6"/>
  <c r="BQ20" i="6"/>
  <c r="BP20" i="6"/>
  <c r="BO20" i="6"/>
  <c r="BM20" i="6"/>
  <c r="BL20" i="6"/>
  <c r="BK20" i="6"/>
  <c r="BJ20" i="6"/>
  <c r="BI20" i="6"/>
  <c r="BH20" i="6"/>
  <c r="BG20" i="6"/>
  <c r="BF20" i="6"/>
  <c r="BE20" i="6"/>
  <c r="BD20" i="6"/>
  <c r="BC20" i="6"/>
  <c r="BB20" i="6"/>
  <c r="BA20" i="6"/>
  <c r="AZ20" i="6"/>
  <c r="AY20" i="6"/>
  <c r="AX20" i="6"/>
  <c r="AW20" i="6"/>
  <c r="AV20" i="6"/>
  <c r="AU20" i="6"/>
  <c r="AT20" i="6"/>
  <c r="AS20" i="6"/>
  <c r="AR20" i="6"/>
  <c r="AQ20" i="6"/>
  <c r="AP20" i="6"/>
  <c r="AO20" i="6"/>
  <c r="AN20" i="6"/>
  <c r="AM20" i="6"/>
  <c r="AL20" i="6"/>
  <c r="AJ20" i="6"/>
  <c r="AI20" i="6"/>
  <c r="AH20" i="6"/>
  <c r="AG20" i="6"/>
  <c r="AF20" i="6"/>
  <c r="AE20" i="6"/>
  <c r="AD20" i="6"/>
  <c r="AC20" i="6"/>
  <c r="AB20" i="6"/>
  <c r="AA20" i="6"/>
  <c r="Z20" i="6"/>
  <c r="Y20" i="6"/>
  <c r="X20" i="6"/>
  <c r="W20" i="6"/>
  <c r="V20" i="6"/>
  <c r="U20" i="6"/>
  <c r="T20" i="6"/>
  <c r="S20" i="6"/>
  <c r="R20" i="6"/>
  <c r="Q20" i="6"/>
  <c r="P20" i="6"/>
  <c r="O20" i="6"/>
  <c r="N20" i="6"/>
  <c r="M20" i="6"/>
  <c r="L20" i="6"/>
  <c r="J20" i="6"/>
  <c r="F20" i="6"/>
  <c r="E20" i="6"/>
  <c r="ED19" i="6"/>
  <c r="EC19" i="6"/>
  <c r="EB19" i="6"/>
  <c r="EA19" i="6"/>
  <c r="DZ19" i="6"/>
  <c r="DY19" i="6"/>
  <c r="DX19" i="6"/>
  <c r="DW19" i="6"/>
  <c r="DV19" i="6"/>
  <c r="DU19" i="6"/>
  <c r="DT19" i="6"/>
  <c r="DS19" i="6"/>
  <c r="DR19" i="6"/>
  <c r="DQ19" i="6"/>
  <c r="DP19" i="6"/>
  <c r="DO19" i="6"/>
  <c r="DN19" i="6"/>
  <c r="DM19" i="6"/>
  <c r="DL19" i="6"/>
  <c r="DK19" i="6"/>
  <c r="DJ19" i="6"/>
  <c r="DI19" i="6"/>
  <c r="DH19" i="6"/>
  <c r="DG19" i="6"/>
  <c r="DF19" i="6"/>
  <c r="DE19" i="6"/>
  <c r="DD19" i="6"/>
  <c r="DC19" i="6"/>
  <c r="DB19" i="6"/>
  <c r="DA19" i="6"/>
  <c r="CZ19" i="6"/>
  <c r="CY19" i="6"/>
  <c r="CX19" i="6"/>
  <c r="CW19" i="6"/>
  <c r="CV19" i="6"/>
  <c r="CU19" i="6"/>
  <c r="CT19" i="6"/>
  <c r="CS19" i="6"/>
  <c r="CR19" i="6"/>
  <c r="CQ19" i="6"/>
  <c r="CP19" i="6"/>
  <c r="CO19" i="6"/>
  <c r="CN19" i="6"/>
  <c r="CM19" i="6"/>
  <c r="CL19" i="6"/>
  <c r="CK19" i="6"/>
  <c r="CJ19" i="6"/>
  <c r="CI19" i="6"/>
  <c r="CH19" i="6"/>
  <c r="CG19" i="6"/>
  <c r="CF19" i="6"/>
  <c r="CE19" i="6"/>
  <c r="CD19" i="6"/>
  <c r="CC19" i="6"/>
  <c r="CB19" i="6"/>
  <c r="CA19" i="6"/>
  <c r="BZ19" i="6"/>
  <c r="BY19" i="6"/>
  <c r="BX19" i="6"/>
  <c r="BW19" i="6"/>
  <c r="BV19" i="6"/>
  <c r="BU19" i="6"/>
  <c r="BT19" i="6"/>
  <c r="BS19" i="6"/>
  <c r="BR19" i="6"/>
  <c r="BQ19" i="6"/>
  <c r="BP19" i="6"/>
  <c r="BO19" i="6"/>
  <c r="BM19" i="6"/>
  <c r="BL19" i="6"/>
  <c r="BK19" i="6"/>
  <c r="BJ19" i="6"/>
  <c r="BI19" i="6"/>
  <c r="BH19" i="6"/>
  <c r="BG19" i="6"/>
  <c r="BF19" i="6"/>
  <c r="BE19" i="6"/>
  <c r="BD19" i="6"/>
  <c r="BC19" i="6"/>
  <c r="BB19" i="6"/>
  <c r="BA19" i="6"/>
  <c r="AZ19" i="6"/>
  <c r="AY19" i="6"/>
  <c r="AX19" i="6"/>
  <c r="AW19" i="6"/>
  <c r="AV19" i="6"/>
  <c r="AU19" i="6"/>
  <c r="AT19" i="6"/>
  <c r="AS19" i="6"/>
  <c r="AR19" i="6"/>
  <c r="AQ19" i="6"/>
  <c r="AP19" i="6"/>
  <c r="AO19" i="6"/>
  <c r="AN19" i="6"/>
  <c r="AM19" i="6"/>
  <c r="AL19" i="6"/>
  <c r="AJ19" i="6"/>
  <c r="AI19" i="6"/>
  <c r="AH19" i="6"/>
  <c r="AG19" i="6"/>
  <c r="AF19" i="6"/>
  <c r="AE19" i="6"/>
  <c r="AD19" i="6"/>
  <c r="AC19" i="6"/>
  <c r="AB19" i="6"/>
  <c r="AA19" i="6"/>
  <c r="Z19" i="6"/>
  <c r="Y19" i="6"/>
  <c r="X19" i="6"/>
  <c r="W19" i="6"/>
  <c r="V19" i="6"/>
  <c r="U19" i="6"/>
  <c r="T19" i="6"/>
  <c r="S19" i="6"/>
  <c r="R19" i="6"/>
  <c r="Q19" i="6"/>
  <c r="P19" i="6"/>
  <c r="O19" i="6"/>
  <c r="N19" i="6"/>
  <c r="M19" i="6"/>
  <c r="L19" i="6"/>
  <c r="J19" i="6"/>
  <c r="F19" i="6"/>
  <c r="E19" i="6"/>
  <c r="ED18" i="6"/>
  <c r="EC18" i="6"/>
  <c r="EB18" i="6"/>
  <c r="EA18" i="6"/>
  <c r="DZ18" i="6"/>
  <c r="DY18" i="6"/>
  <c r="DX18" i="6"/>
  <c r="DW18" i="6"/>
  <c r="DV18" i="6"/>
  <c r="DU18" i="6"/>
  <c r="DT18" i="6"/>
  <c r="DS18" i="6"/>
  <c r="DR18" i="6"/>
  <c r="DQ18" i="6"/>
  <c r="DP18" i="6"/>
  <c r="DO18" i="6"/>
  <c r="DN18" i="6"/>
  <c r="DM18" i="6"/>
  <c r="DL18" i="6"/>
  <c r="DK18" i="6"/>
  <c r="DJ18" i="6"/>
  <c r="DI18" i="6"/>
  <c r="DH18" i="6"/>
  <c r="DG18" i="6"/>
  <c r="DF18" i="6"/>
  <c r="DE18" i="6"/>
  <c r="DD18" i="6"/>
  <c r="DC18" i="6"/>
  <c r="DB18" i="6"/>
  <c r="DA18" i="6"/>
  <c r="CZ18" i="6"/>
  <c r="CY18" i="6"/>
  <c r="CX18" i="6"/>
  <c r="CW18" i="6"/>
  <c r="CV18" i="6"/>
  <c r="CU18" i="6"/>
  <c r="CT18" i="6"/>
  <c r="CS18" i="6"/>
  <c r="CR18" i="6"/>
  <c r="CQ18" i="6"/>
  <c r="CP18" i="6"/>
  <c r="CO18" i="6"/>
  <c r="CN18" i="6"/>
  <c r="CM18" i="6"/>
  <c r="CL18" i="6"/>
  <c r="CK18" i="6"/>
  <c r="CJ18" i="6"/>
  <c r="CI18" i="6"/>
  <c r="CH18" i="6"/>
  <c r="CG18" i="6"/>
  <c r="CF18" i="6"/>
  <c r="CE18" i="6"/>
  <c r="CD18" i="6"/>
  <c r="CC18" i="6"/>
  <c r="CB18" i="6"/>
  <c r="CA18" i="6"/>
  <c r="BZ18" i="6"/>
  <c r="BY18" i="6"/>
  <c r="BX18" i="6"/>
  <c r="BW18" i="6"/>
  <c r="BV18" i="6"/>
  <c r="BU18" i="6"/>
  <c r="BT18" i="6"/>
  <c r="BS18" i="6"/>
  <c r="BR18" i="6"/>
  <c r="BQ18" i="6"/>
  <c r="BP18" i="6"/>
  <c r="BO18" i="6"/>
  <c r="BM18" i="6"/>
  <c r="BL18" i="6"/>
  <c r="BK18" i="6"/>
  <c r="BJ18" i="6"/>
  <c r="BI18" i="6"/>
  <c r="BH18" i="6"/>
  <c r="BG18" i="6"/>
  <c r="BF18" i="6"/>
  <c r="BE18" i="6"/>
  <c r="BD18" i="6"/>
  <c r="BC18" i="6"/>
  <c r="BB18" i="6"/>
  <c r="BA18" i="6"/>
  <c r="AZ18" i="6"/>
  <c r="AY18" i="6"/>
  <c r="AX18" i="6"/>
  <c r="AW18" i="6"/>
  <c r="AV18" i="6"/>
  <c r="AU18" i="6"/>
  <c r="AT18" i="6"/>
  <c r="AS18" i="6"/>
  <c r="AR18" i="6"/>
  <c r="AQ18" i="6"/>
  <c r="AP18" i="6"/>
  <c r="AO18" i="6"/>
  <c r="AN18" i="6"/>
  <c r="AM18" i="6"/>
  <c r="AL18" i="6"/>
  <c r="AJ18" i="6"/>
  <c r="AI18" i="6"/>
  <c r="AH18" i="6"/>
  <c r="AG18" i="6"/>
  <c r="AF18" i="6"/>
  <c r="AE18" i="6"/>
  <c r="AD18" i="6"/>
  <c r="AC18" i="6"/>
  <c r="AB18" i="6"/>
  <c r="AA18" i="6"/>
  <c r="Z18" i="6"/>
  <c r="Y18" i="6"/>
  <c r="X18" i="6"/>
  <c r="W18" i="6"/>
  <c r="V18" i="6"/>
  <c r="U18" i="6"/>
  <c r="T18" i="6"/>
  <c r="S18" i="6"/>
  <c r="R18" i="6"/>
  <c r="Q18" i="6"/>
  <c r="P18" i="6"/>
  <c r="O18" i="6"/>
  <c r="N18" i="6"/>
  <c r="M18" i="6"/>
  <c r="L18" i="6"/>
  <c r="J18" i="6"/>
  <c r="G18" i="6"/>
  <c r="F18" i="6"/>
  <c r="E18" i="6"/>
  <c r="ED17" i="6"/>
  <c r="EC17" i="6"/>
  <c r="EB17" i="6"/>
  <c r="EA17" i="6"/>
  <c r="DZ17" i="6"/>
  <c r="DY17" i="6"/>
  <c r="DX17" i="6"/>
  <c r="DW17" i="6"/>
  <c r="DV17" i="6"/>
  <c r="DU17" i="6"/>
  <c r="DT17" i="6"/>
  <c r="DS17" i="6"/>
  <c r="DR17" i="6"/>
  <c r="DQ17" i="6"/>
  <c r="DP17" i="6"/>
  <c r="DO17" i="6"/>
  <c r="DN17" i="6"/>
  <c r="DM17" i="6"/>
  <c r="DL17" i="6"/>
  <c r="DK17" i="6"/>
  <c r="DJ17" i="6"/>
  <c r="DI17" i="6"/>
  <c r="DH17" i="6"/>
  <c r="DG17" i="6"/>
  <c r="DF17" i="6"/>
  <c r="DE17" i="6"/>
  <c r="DD17" i="6"/>
  <c r="DC17" i="6"/>
  <c r="DB17" i="6"/>
  <c r="DA17" i="6"/>
  <c r="CZ17" i="6"/>
  <c r="CY17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J17" i="6"/>
  <c r="F17" i="6"/>
  <c r="E17" i="6"/>
  <c r="ED16" i="6"/>
  <c r="EC16" i="6"/>
  <c r="EB16" i="6"/>
  <c r="EA16" i="6"/>
  <c r="DZ16" i="6"/>
  <c r="DY16" i="6"/>
  <c r="DX16" i="6"/>
  <c r="DW16" i="6"/>
  <c r="DV16" i="6"/>
  <c r="DU16" i="6"/>
  <c r="DT16" i="6"/>
  <c r="DS16" i="6"/>
  <c r="DR16" i="6"/>
  <c r="DQ16" i="6"/>
  <c r="DP16" i="6"/>
  <c r="DO16" i="6"/>
  <c r="DN16" i="6"/>
  <c r="DM16" i="6"/>
  <c r="DL16" i="6"/>
  <c r="DK16" i="6"/>
  <c r="DJ16" i="6"/>
  <c r="DI16" i="6"/>
  <c r="DH16" i="6"/>
  <c r="DG16" i="6"/>
  <c r="DF16" i="6"/>
  <c r="DE16" i="6"/>
  <c r="DD16" i="6"/>
  <c r="DC16" i="6"/>
  <c r="DB16" i="6"/>
  <c r="DA16" i="6"/>
  <c r="CZ16" i="6"/>
  <c r="CY16" i="6"/>
  <c r="CX16" i="6"/>
  <c r="CW16" i="6"/>
  <c r="CV16" i="6"/>
  <c r="CU16" i="6"/>
  <c r="CT16" i="6"/>
  <c r="CS16" i="6"/>
  <c r="CR16" i="6"/>
  <c r="CQ16" i="6"/>
  <c r="CP16" i="6"/>
  <c r="CO16" i="6"/>
  <c r="CN16" i="6"/>
  <c r="CM16" i="6"/>
  <c r="CL16" i="6"/>
  <c r="CK16" i="6"/>
  <c r="CJ16" i="6"/>
  <c r="CI16" i="6"/>
  <c r="CH16" i="6"/>
  <c r="CG16" i="6"/>
  <c r="CF16" i="6"/>
  <c r="CE16" i="6"/>
  <c r="CD16" i="6"/>
  <c r="CC16" i="6"/>
  <c r="CB16" i="6"/>
  <c r="CA16" i="6"/>
  <c r="BZ16" i="6"/>
  <c r="BY16" i="6"/>
  <c r="BX16" i="6"/>
  <c r="BW16" i="6"/>
  <c r="BV16" i="6"/>
  <c r="BU16" i="6"/>
  <c r="BT16" i="6"/>
  <c r="BS16" i="6"/>
  <c r="BR16" i="6"/>
  <c r="BQ16" i="6"/>
  <c r="BP16" i="6"/>
  <c r="BO16" i="6"/>
  <c r="BM16" i="6"/>
  <c r="BL16" i="6"/>
  <c r="BK16" i="6"/>
  <c r="BJ16" i="6"/>
  <c r="BI16" i="6"/>
  <c r="BH16" i="6"/>
  <c r="BG16" i="6"/>
  <c r="BF16" i="6"/>
  <c r="BE16" i="6"/>
  <c r="BD16" i="6"/>
  <c r="BC16" i="6"/>
  <c r="BB16" i="6"/>
  <c r="BA16" i="6"/>
  <c r="AZ16" i="6"/>
  <c r="AY16" i="6"/>
  <c r="AX16" i="6"/>
  <c r="AW16" i="6"/>
  <c r="AV16" i="6"/>
  <c r="AU16" i="6"/>
  <c r="AT16" i="6"/>
  <c r="AS16" i="6"/>
  <c r="AR16" i="6"/>
  <c r="AQ16" i="6"/>
  <c r="AP16" i="6"/>
  <c r="AO16" i="6"/>
  <c r="AN16" i="6"/>
  <c r="AM16" i="6"/>
  <c r="AL16" i="6"/>
  <c r="AJ16" i="6"/>
  <c r="AI16" i="6"/>
  <c r="AH16" i="6"/>
  <c r="AG16" i="6"/>
  <c r="AF16" i="6"/>
  <c r="AE16" i="6"/>
  <c r="AD16" i="6"/>
  <c r="AC16" i="6"/>
  <c r="AB16" i="6"/>
  <c r="AA16" i="6"/>
  <c r="Z16" i="6"/>
  <c r="Y16" i="6"/>
  <c r="X16" i="6"/>
  <c r="W16" i="6"/>
  <c r="V16" i="6"/>
  <c r="U16" i="6"/>
  <c r="T16" i="6"/>
  <c r="S16" i="6"/>
  <c r="R16" i="6"/>
  <c r="Q16" i="6"/>
  <c r="P16" i="6"/>
  <c r="O16" i="6"/>
  <c r="N16" i="6"/>
  <c r="M16" i="6"/>
  <c r="L16" i="6"/>
  <c r="J16" i="6"/>
  <c r="F16" i="6"/>
  <c r="E16" i="6"/>
  <c r="ED15" i="6"/>
  <c r="EC15" i="6"/>
  <c r="EB15" i="6"/>
  <c r="EA15" i="6"/>
  <c r="DZ15" i="6"/>
  <c r="DY15" i="6"/>
  <c r="DX15" i="6"/>
  <c r="DW15" i="6"/>
  <c r="DV15" i="6"/>
  <c r="DU15" i="6"/>
  <c r="DT15" i="6"/>
  <c r="DS15" i="6"/>
  <c r="DR15" i="6"/>
  <c r="DQ15" i="6"/>
  <c r="DP15" i="6"/>
  <c r="DO15" i="6"/>
  <c r="DN15" i="6"/>
  <c r="DM15" i="6"/>
  <c r="DL15" i="6"/>
  <c r="DK15" i="6"/>
  <c r="DJ15" i="6"/>
  <c r="DI15" i="6"/>
  <c r="DH15" i="6"/>
  <c r="DG15" i="6"/>
  <c r="DF15" i="6"/>
  <c r="DE15" i="6"/>
  <c r="DD15" i="6"/>
  <c r="DC15" i="6"/>
  <c r="DB15" i="6"/>
  <c r="DA15" i="6"/>
  <c r="CZ15" i="6"/>
  <c r="CY15" i="6"/>
  <c r="CX15" i="6"/>
  <c r="CW15" i="6"/>
  <c r="CV15" i="6"/>
  <c r="CU15" i="6"/>
  <c r="CT15" i="6"/>
  <c r="CS15" i="6"/>
  <c r="CR15" i="6"/>
  <c r="CQ15" i="6"/>
  <c r="CP15" i="6"/>
  <c r="CO15" i="6"/>
  <c r="CN15" i="6"/>
  <c r="CM15" i="6"/>
  <c r="CL15" i="6"/>
  <c r="CK15" i="6"/>
  <c r="CJ15" i="6"/>
  <c r="CI15" i="6"/>
  <c r="CH15" i="6"/>
  <c r="CG15" i="6"/>
  <c r="CF15" i="6"/>
  <c r="CE15" i="6"/>
  <c r="CD15" i="6"/>
  <c r="CC15" i="6"/>
  <c r="CB15" i="6"/>
  <c r="CA15" i="6"/>
  <c r="BZ15" i="6"/>
  <c r="BY15" i="6"/>
  <c r="BX15" i="6"/>
  <c r="BW15" i="6"/>
  <c r="BV15" i="6"/>
  <c r="BU15" i="6"/>
  <c r="BT15" i="6"/>
  <c r="BS15" i="6"/>
  <c r="BR15" i="6"/>
  <c r="BQ15" i="6"/>
  <c r="BP15" i="6"/>
  <c r="BO15" i="6"/>
  <c r="BM15" i="6"/>
  <c r="BL15" i="6"/>
  <c r="BK15" i="6"/>
  <c r="BJ15" i="6"/>
  <c r="BI15" i="6"/>
  <c r="BH15" i="6"/>
  <c r="BG15" i="6"/>
  <c r="BF15" i="6"/>
  <c r="BE15" i="6"/>
  <c r="BD15" i="6"/>
  <c r="BC15" i="6"/>
  <c r="BB15" i="6"/>
  <c r="BA15" i="6"/>
  <c r="AZ15" i="6"/>
  <c r="AY15" i="6"/>
  <c r="AX15" i="6"/>
  <c r="AW15" i="6"/>
  <c r="AV15" i="6"/>
  <c r="AU15" i="6"/>
  <c r="AT15" i="6"/>
  <c r="AS15" i="6"/>
  <c r="AR15" i="6"/>
  <c r="AQ15" i="6"/>
  <c r="AP15" i="6"/>
  <c r="AO15" i="6"/>
  <c r="AN15" i="6"/>
  <c r="AM15" i="6"/>
  <c r="AL15" i="6"/>
  <c r="AJ15" i="6"/>
  <c r="AI15" i="6"/>
  <c r="AH15" i="6"/>
  <c r="AG15" i="6"/>
  <c r="AF15" i="6"/>
  <c r="AE15" i="6"/>
  <c r="AD15" i="6"/>
  <c r="AC15" i="6"/>
  <c r="AB15" i="6"/>
  <c r="AA15" i="6"/>
  <c r="Z15" i="6"/>
  <c r="Y15" i="6"/>
  <c r="X15" i="6"/>
  <c r="W15" i="6"/>
  <c r="V15" i="6"/>
  <c r="U15" i="6"/>
  <c r="T15" i="6"/>
  <c r="S15" i="6"/>
  <c r="R15" i="6"/>
  <c r="Q15" i="6"/>
  <c r="P15" i="6"/>
  <c r="O15" i="6"/>
  <c r="N15" i="6"/>
  <c r="M15" i="6"/>
  <c r="L15" i="6"/>
  <c r="J15" i="6"/>
  <c r="G15" i="6"/>
  <c r="F15" i="6"/>
  <c r="E15" i="6"/>
  <c r="ED14" i="6"/>
  <c r="EC14" i="6"/>
  <c r="EB14" i="6"/>
  <c r="EA14" i="6"/>
  <c r="DZ14" i="6"/>
  <c r="DY14" i="6"/>
  <c r="DX14" i="6"/>
  <c r="DW14" i="6"/>
  <c r="DV14" i="6"/>
  <c r="DU14" i="6"/>
  <c r="DT14" i="6"/>
  <c r="DS14" i="6"/>
  <c r="DR14" i="6"/>
  <c r="DQ14" i="6"/>
  <c r="DP14" i="6"/>
  <c r="DO14" i="6"/>
  <c r="DN14" i="6"/>
  <c r="DM14" i="6"/>
  <c r="DL14" i="6"/>
  <c r="DK14" i="6"/>
  <c r="DJ14" i="6"/>
  <c r="DI14" i="6"/>
  <c r="DH14" i="6"/>
  <c r="DG14" i="6"/>
  <c r="DF14" i="6"/>
  <c r="DE14" i="6"/>
  <c r="DD14" i="6"/>
  <c r="DC14" i="6"/>
  <c r="DB14" i="6"/>
  <c r="DA14" i="6"/>
  <c r="CZ14" i="6"/>
  <c r="CY14" i="6"/>
  <c r="CX14" i="6"/>
  <c r="CW14" i="6"/>
  <c r="CV14" i="6"/>
  <c r="CU14" i="6"/>
  <c r="CT14" i="6"/>
  <c r="CS14" i="6"/>
  <c r="CR14" i="6"/>
  <c r="CQ14" i="6"/>
  <c r="CP14" i="6"/>
  <c r="CO14" i="6"/>
  <c r="CN14" i="6"/>
  <c r="CM14" i="6"/>
  <c r="CL14" i="6"/>
  <c r="CK14" i="6"/>
  <c r="CJ14" i="6"/>
  <c r="CI14" i="6"/>
  <c r="CH14" i="6"/>
  <c r="CG14" i="6"/>
  <c r="CF14" i="6"/>
  <c r="CE14" i="6"/>
  <c r="CD14" i="6"/>
  <c r="CC14" i="6"/>
  <c r="CB14" i="6"/>
  <c r="CA14" i="6"/>
  <c r="BZ14" i="6"/>
  <c r="BY14" i="6"/>
  <c r="BX14" i="6"/>
  <c r="BW14" i="6"/>
  <c r="BV14" i="6"/>
  <c r="BU14" i="6"/>
  <c r="BT14" i="6"/>
  <c r="BS14" i="6"/>
  <c r="BR14" i="6"/>
  <c r="BQ14" i="6"/>
  <c r="BP14" i="6"/>
  <c r="BO14" i="6"/>
  <c r="BM14" i="6"/>
  <c r="BL14" i="6"/>
  <c r="BK14" i="6"/>
  <c r="BJ14" i="6"/>
  <c r="BI14" i="6"/>
  <c r="BH14" i="6"/>
  <c r="BG14" i="6"/>
  <c r="BF14" i="6"/>
  <c r="BE14" i="6"/>
  <c r="BD14" i="6"/>
  <c r="BC14" i="6"/>
  <c r="BB14" i="6"/>
  <c r="BA14" i="6"/>
  <c r="AZ14" i="6"/>
  <c r="AY14" i="6"/>
  <c r="AX14" i="6"/>
  <c r="AW14" i="6"/>
  <c r="AV14" i="6"/>
  <c r="AU14" i="6"/>
  <c r="AT14" i="6"/>
  <c r="AS14" i="6"/>
  <c r="AR14" i="6"/>
  <c r="AQ14" i="6"/>
  <c r="AP14" i="6"/>
  <c r="AO14" i="6"/>
  <c r="AN14" i="6"/>
  <c r="AM14" i="6"/>
  <c r="AL14" i="6"/>
  <c r="AJ14" i="6"/>
  <c r="AI14" i="6"/>
  <c r="AH14" i="6"/>
  <c r="AG14" i="6"/>
  <c r="AF14" i="6"/>
  <c r="AE14" i="6"/>
  <c r="AD14" i="6"/>
  <c r="AC14" i="6"/>
  <c r="AB14" i="6"/>
  <c r="AA14" i="6"/>
  <c r="Z14" i="6"/>
  <c r="Y14" i="6"/>
  <c r="X14" i="6"/>
  <c r="W14" i="6"/>
  <c r="V14" i="6"/>
  <c r="U14" i="6"/>
  <c r="T14" i="6"/>
  <c r="S14" i="6"/>
  <c r="R14" i="6"/>
  <c r="Q14" i="6"/>
  <c r="P14" i="6"/>
  <c r="O14" i="6"/>
  <c r="N14" i="6"/>
  <c r="M14" i="6"/>
  <c r="L14" i="6"/>
  <c r="J14" i="6"/>
  <c r="G14" i="6"/>
  <c r="F14" i="6"/>
  <c r="E14" i="6"/>
  <c r="ED13" i="6"/>
  <c r="EC13" i="6"/>
  <c r="EB13" i="6"/>
  <c r="EA13" i="6"/>
  <c r="DZ13" i="6"/>
  <c r="DY13" i="6"/>
  <c r="DX13" i="6"/>
  <c r="DW13" i="6"/>
  <c r="DV13" i="6"/>
  <c r="DU13" i="6"/>
  <c r="DT13" i="6"/>
  <c r="DS13" i="6"/>
  <c r="DR13" i="6"/>
  <c r="DQ13" i="6"/>
  <c r="DP13" i="6"/>
  <c r="DO13" i="6"/>
  <c r="DN13" i="6"/>
  <c r="DM13" i="6"/>
  <c r="DL13" i="6"/>
  <c r="DK13" i="6"/>
  <c r="DJ13" i="6"/>
  <c r="DI13" i="6"/>
  <c r="DH13" i="6"/>
  <c r="DG13" i="6"/>
  <c r="DF13" i="6"/>
  <c r="DE13" i="6"/>
  <c r="DD13" i="6"/>
  <c r="DC13" i="6"/>
  <c r="DB13" i="6"/>
  <c r="DA13" i="6"/>
  <c r="CZ13" i="6"/>
  <c r="CY13" i="6"/>
  <c r="CX13" i="6"/>
  <c r="CW13" i="6"/>
  <c r="CV13" i="6"/>
  <c r="CU13" i="6"/>
  <c r="CT13" i="6"/>
  <c r="CS13" i="6"/>
  <c r="CR13" i="6"/>
  <c r="CQ13" i="6"/>
  <c r="CP13" i="6"/>
  <c r="CO13" i="6"/>
  <c r="CN13" i="6"/>
  <c r="CM13" i="6"/>
  <c r="CL13" i="6"/>
  <c r="CK13" i="6"/>
  <c r="CJ13" i="6"/>
  <c r="CI13" i="6"/>
  <c r="CH13" i="6"/>
  <c r="CG13" i="6"/>
  <c r="CF13" i="6"/>
  <c r="CE13" i="6"/>
  <c r="CD13" i="6"/>
  <c r="CC13" i="6"/>
  <c r="CB13" i="6"/>
  <c r="CA13" i="6"/>
  <c r="BZ13" i="6"/>
  <c r="BY13" i="6"/>
  <c r="BX13" i="6"/>
  <c r="BW13" i="6"/>
  <c r="BV13" i="6"/>
  <c r="BU13" i="6"/>
  <c r="BT13" i="6"/>
  <c r="BS13" i="6"/>
  <c r="BR13" i="6"/>
  <c r="BQ13" i="6"/>
  <c r="BP13" i="6"/>
  <c r="BO13" i="6"/>
  <c r="BM13" i="6"/>
  <c r="BL13" i="6"/>
  <c r="BK13" i="6"/>
  <c r="BJ13" i="6"/>
  <c r="BI13" i="6"/>
  <c r="BH13" i="6"/>
  <c r="BG13" i="6"/>
  <c r="BF13" i="6"/>
  <c r="BE13" i="6"/>
  <c r="BD13" i="6"/>
  <c r="BC13" i="6"/>
  <c r="BB13" i="6"/>
  <c r="BA13" i="6"/>
  <c r="AZ13" i="6"/>
  <c r="AY13" i="6"/>
  <c r="AX13" i="6"/>
  <c r="AW13" i="6"/>
  <c r="AV13" i="6"/>
  <c r="AU13" i="6"/>
  <c r="AT13" i="6"/>
  <c r="AS13" i="6"/>
  <c r="AR13" i="6"/>
  <c r="AQ13" i="6"/>
  <c r="AP13" i="6"/>
  <c r="AO13" i="6"/>
  <c r="AN13" i="6"/>
  <c r="AM13" i="6"/>
  <c r="AL13" i="6"/>
  <c r="AJ13" i="6"/>
  <c r="AI13" i="6"/>
  <c r="AH13" i="6"/>
  <c r="AG13" i="6"/>
  <c r="AF13" i="6"/>
  <c r="AE13" i="6"/>
  <c r="AD13" i="6"/>
  <c r="AC13" i="6"/>
  <c r="AB13" i="6"/>
  <c r="AA13" i="6"/>
  <c r="Z13" i="6"/>
  <c r="Y13" i="6"/>
  <c r="X13" i="6"/>
  <c r="W13" i="6"/>
  <c r="V13" i="6"/>
  <c r="U13" i="6"/>
  <c r="T13" i="6"/>
  <c r="S13" i="6"/>
  <c r="R13" i="6"/>
  <c r="Q13" i="6"/>
  <c r="P13" i="6"/>
  <c r="O13" i="6"/>
  <c r="N13" i="6"/>
  <c r="M13" i="6"/>
  <c r="L13" i="6"/>
  <c r="F13" i="6"/>
  <c r="E13" i="6"/>
  <c r="D13" i="6"/>
  <c r="C13" i="6"/>
  <c r="ED12" i="6"/>
  <c r="EC12" i="6"/>
  <c r="EB12" i="6"/>
  <c r="EA12" i="6"/>
  <c r="DZ12" i="6"/>
  <c r="DY12" i="6"/>
  <c r="DX12" i="6"/>
  <c r="DW12" i="6"/>
  <c r="DV12" i="6"/>
  <c r="DU12" i="6"/>
  <c r="DT12" i="6"/>
  <c r="DS12" i="6"/>
  <c r="DR12" i="6"/>
  <c r="DQ12" i="6"/>
  <c r="DP12" i="6"/>
  <c r="DO12" i="6"/>
  <c r="DN12" i="6"/>
  <c r="DM12" i="6"/>
  <c r="DL12" i="6"/>
  <c r="DK12" i="6"/>
  <c r="DJ12" i="6"/>
  <c r="DI12" i="6"/>
  <c r="DH12" i="6"/>
  <c r="DG12" i="6"/>
  <c r="DF12" i="6"/>
  <c r="DE12" i="6"/>
  <c r="DD12" i="6"/>
  <c r="DC12" i="6"/>
  <c r="DB12" i="6"/>
  <c r="DA12" i="6"/>
  <c r="CZ12" i="6"/>
  <c r="CY12" i="6"/>
  <c r="CX12" i="6"/>
  <c r="CW12" i="6"/>
  <c r="CV12" i="6"/>
  <c r="CU12" i="6"/>
  <c r="CT12" i="6"/>
  <c r="CS12" i="6"/>
  <c r="CR12" i="6"/>
  <c r="CQ12" i="6"/>
  <c r="CP12" i="6"/>
  <c r="CO12" i="6"/>
  <c r="CN12" i="6"/>
  <c r="CM12" i="6"/>
  <c r="CL12" i="6"/>
  <c r="CK12" i="6"/>
  <c r="CJ12" i="6"/>
  <c r="CI12" i="6"/>
  <c r="CH12" i="6"/>
  <c r="CG12" i="6"/>
  <c r="CF12" i="6"/>
  <c r="CE12" i="6"/>
  <c r="CD12" i="6"/>
  <c r="CC12" i="6"/>
  <c r="CB12" i="6"/>
  <c r="CA12" i="6"/>
  <c r="BZ12" i="6"/>
  <c r="BY12" i="6"/>
  <c r="BX12" i="6"/>
  <c r="BW12" i="6"/>
  <c r="BV12" i="6"/>
  <c r="BU12" i="6"/>
  <c r="BT12" i="6"/>
  <c r="BS12" i="6"/>
  <c r="BR12" i="6"/>
  <c r="BQ12" i="6"/>
  <c r="BP12" i="6"/>
  <c r="BO12" i="6"/>
  <c r="BM12" i="6"/>
  <c r="BL12" i="6"/>
  <c r="BK12" i="6"/>
  <c r="BJ12" i="6"/>
  <c r="BI12" i="6"/>
  <c r="BH12" i="6"/>
  <c r="BG12" i="6"/>
  <c r="BF12" i="6"/>
  <c r="BE12" i="6"/>
  <c r="BD12" i="6"/>
  <c r="BC12" i="6"/>
  <c r="BB12" i="6"/>
  <c r="BA12" i="6"/>
  <c r="AZ12" i="6"/>
  <c r="AY12" i="6"/>
  <c r="AX12" i="6"/>
  <c r="AW12" i="6"/>
  <c r="AV12" i="6"/>
  <c r="AU12" i="6"/>
  <c r="AT12" i="6"/>
  <c r="AS12" i="6"/>
  <c r="AR12" i="6"/>
  <c r="AQ12" i="6"/>
  <c r="AP12" i="6"/>
  <c r="AO12" i="6"/>
  <c r="AN12" i="6"/>
  <c r="AM12" i="6"/>
  <c r="AL12" i="6"/>
  <c r="AJ12" i="6"/>
  <c r="AI12" i="6"/>
  <c r="AH12" i="6"/>
  <c r="AG12" i="6"/>
  <c r="AF12" i="6"/>
  <c r="AE12" i="6"/>
  <c r="AD12" i="6"/>
  <c r="AC12" i="6"/>
  <c r="AB12" i="6"/>
  <c r="AA12" i="6"/>
  <c r="Z12" i="6"/>
  <c r="Y12" i="6"/>
  <c r="X12" i="6"/>
  <c r="W12" i="6"/>
  <c r="V12" i="6"/>
  <c r="U12" i="6"/>
  <c r="T12" i="6"/>
  <c r="S12" i="6"/>
  <c r="R12" i="6"/>
  <c r="Q12" i="6"/>
  <c r="P12" i="6"/>
  <c r="O12" i="6"/>
  <c r="N12" i="6"/>
  <c r="M12" i="6"/>
  <c r="L12" i="6"/>
  <c r="F12" i="6"/>
  <c r="E12" i="6"/>
  <c r="D12" i="6"/>
  <c r="C12" i="6"/>
  <c r="ED11" i="6"/>
  <c r="EC11" i="6"/>
  <c r="EB11" i="6"/>
  <c r="EA11" i="6"/>
  <c r="DZ11" i="6"/>
  <c r="DY11" i="6"/>
  <c r="DX11" i="6"/>
  <c r="DW11" i="6"/>
  <c r="DV11" i="6"/>
  <c r="DU11" i="6"/>
  <c r="DT11" i="6"/>
  <c r="DS11" i="6"/>
  <c r="DR11" i="6"/>
  <c r="DQ11" i="6"/>
  <c r="DP11" i="6"/>
  <c r="DO11" i="6"/>
  <c r="DN11" i="6"/>
  <c r="DM11" i="6"/>
  <c r="DL11" i="6"/>
  <c r="DK11" i="6"/>
  <c r="DJ11" i="6"/>
  <c r="DI11" i="6"/>
  <c r="DH11" i="6"/>
  <c r="DG11" i="6"/>
  <c r="DF11" i="6"/>
  <c r="DE11" i="6"/>
  <c r="DD11" i="6"/>
  <c r="DC11" i="6"/>
  <c r="DB11" i="6"/>
  <c r="DA11" i="6"/>
  <c r="CZ11" i="6"/>
  <c r="CY11" i="6"/>
  <c r="CX11" i="6"/>
  <c r="CW11" i="6"/>
  <c r="CV11" i="6"/>
  <c r="CU11" i="6"/>
  <c r="CT11" i="6"/>
  <c r="CS11" i="6"/>
  <c r="CR11" i="6"/>
  <c r="CQ11" i="6"/>
  <c r="CP11" i="6"/>
  <c r="CO11" i="6"/>
  <c r="CN11" i="6"/>
  <c r="CM11" i="6"/>
  <c r="CL11" i="6"/>
  <c r="CK11" i="6"/>
  <c r="CJ11" i="6"/>
  <c r="CI11" i="6"/>
  <c r="CH11" i="6"/>
  <c r="CG11" i="6"/>
  <c r="CF11" i="6"/>
  <c r="CE11" i="6"/>
  <c r="CD11" i="6"/>
  <c r="CC11" i="6"/>
  <c r="CB11" i="6"/>
  <c r="CA11" i="6"/>
  <c r="BZ11" i="6"/>
  <c r="BY11" i="6"/>
  <c r="BX11" i="6"/>
  <c r="BW11" i="6"/>
  <c r="BV11" i="6"/>
  <c r="BU11" i="6"/>
  <c r="BT11" i="6"/>
  <c r="BS11" i="6"/>
  <c r="BR11" i="6"/>
  <c r="BQ11" i="6"/>
  <c r="BP11" i="6"/>
  <c r="BO11" i="6"/>
  <c r="BM11" i="6"/>
  <c r="BL11" i="6"/>
  <c r="BK11" i="6"/>
  <c r="BJ11" i="6"/>
  <c r="BI11" i="6"/>
  <c r="BH11" i="6"/>
  <c r="BG11" i="6"/>
  <c r="BF11" i="6"/>
  <c r="BE11" i="6"/>
  <c r="BD11" i="6"/>
  <c r="BC11" i="6"/>
  <c r="BB11" i="6"/>
  <c r="BA11" i="6"/>
  <c r="AZ11" i="6"/>
  <c r="AY11" i="6"/>
  <c r="AX11" i="6"/>
  <c r="AW11" i="6"/>
  <c r="AV11" i="6"/>
  <c r="AU11" i="6"/>
  <c r="AT11" i="6"/>
  <c r="AS11" i="6"/>
  <c r="AR11" i="6"/>
  <c r="AQ11" i="6"/>
  <c r="AP11" i="6"/>
  <c r="AO11" i="6"/>
  <c r="AN11" i="6"/>
  <c r="AM11" i="6"/>
  <c r="AL11" i="6"/>
  <c r="AJ11" i="6"/>
  <c r="AI11" i="6"/>
  <c r="AH11" i="6"/>
  <c r="AG11" i="6"/>
  <c r="AF11" i="6"/>
  <c r="AE11" i="6"/>
  <c r="AD11" i="6"/>
  <c r="AC11" i="6"/>
  <c r="AB11" i="6"/>
  <c r="AA11" i="6"/>
  <c r="Z11" i="6"/>
  <c r="Y11" i="6"/>
  <c r="X11" i="6"/>
  <c r="W11" i="6"/>
  <c r="V11" i="6"/>
  <c r="U11" i="6"/>
  <c r="T11" i="6"/>
  <c r="S11" i="6"/>
  <c r="R11" i="6"/>
  <c r="Q11" i="6"/>
  <c r="P11" i="6"/>
  <c r="O11" i="6"/>
  <c r="N11" i="6"/>
  <c r="M11" i="6"/>
  <c r="L11" i="6"/>
  <c r="J11" i="6"/>
  <c r="G11" i="6"/>
  <c r="F11" i="6"/>
  <c r="E11" i="6"/>
  <c r="D11" i="6"/>
  <c r="C11" i="6"/>
  <c r="ED10" i="6"/>
  <c r="EC10" i="6"/>
  <c r="EB10" i="6"/>
  <c r="EA10" i="6"/>
  <c r="DZ10" i="6"/>
  <c r="DY10" i="6"/>
  <c r="DX10" i="6"/>
  <c r="DW10" i="6"/>
  <c r="DV10" i="6"/>
  <c r="DU10" i="6"/>
  <c r="DT10" i="6"/>
  <c r="DS10" i="6"/>
  <c r="DR10" i="6"/>
  <c r="DQ10" i="6"/>
  <c r="DP10" i="6"/>
  <c r="DO10" i="6"/>
  <c r="DN10" i="6"/>
  <c r="DM10" i="6"/>
  <c r="DL10" i="6"/>
  <c r="DK10" i="6"/>
  <c r="DJ10" i="6"/>
  <c r="DI10" i="6"/>
  <c r="DH10" i="6"/>
  <c r="DG10" i="6"/>
  <c r="DF10" i="6"/>
  <c r="DE10" i="6"/>
  <c r="DD10" i="6"/>
  <c r="DC10" i="6"/>
  <c r="DB10" i="6"/>
  <c r="DA10" i="6"/>
  <c r="CZ10" i="6"/>
  <c r="CY10" i="6"/>
  <c r="CX10" i="6"/>
  <c r="CW10" i="6"/>
  <c r="CV10" i="6"/>
  <c r="CU10" i="6"/>
  <c r="CT10" i="6"/>
  <c r="CS10" i="6"/>
  <c r="CR10" i="6"/>
  <c r="CQ10" i="6"/>
  <c r="CP10" i="6"/>
  <c r="CO10" i="6"/>
  <c r="CN10" i="6"/>
  <c r="CM10" i="6"/>
  <c r="CL10" i="6"/>
  <c r="CK10" i="6"/>
  <c r="CJ10" i="6"/>
  <c r="CI10" i="6"/>
  <c r="CH10" i="6"/>
  <c r="CG10" i="6"/>
  <c r="CF10" i="6"/>
  <c r="CE10" i="6"/>
  <c r="CD10" i="6"/>
  <c r="CC10" i="6"/>
  <c r="CB10" i="6"/>
  <c r="CA10" i="6"/>
  <c r="BZ10" i="6"/>
  <c r="BY10" i="6"/>
  <c r="BX10" i="6"/>
  <c r="BW10" i="6"/>
  <c r="BV10" i="6"/>
  <c r="BU10" i="6"/>
  <c r="BT10" i="6"/>
  <c r="BS10" i="6"/>
  <c r="BR10" i="6"/>
  <c r="BQ10" i="6"/>
  <c r="BP10" i="6"/>
  <c r="BO10" i="6"/>
  <c r="BM10" i="6"/>
  <c r="BL10" i="6"/>
  <c r="BK10" i="6"/>
  <c r="BJ10" i="6"/>
  <c r="BI10" i="6"/>
  <c r="BH10" i="6"/>
  <c r="BG10" i="6"/>
  <c r="BF10" i="6"/>
  <c r="BE10" i="6"/>
  <c r="BD10" i="6"/>
  <c r="BC10" i="6"/>
  <c r="BB10" i="6"/>
  <c r="BA10" i="6"/>
  <c r="AZ10" i="6"/>
  <c r="AY10" i="6"/>
  <c r="AX10" i="6"/>
  <c r="AW10" i="6"/>
  <c r="AV10" i="6"/>
  <c r="AU10" i="6"/>
  <c r="AT10" i="6"/>
  <c r="AS10" i="6"/>
  <c r="AR10" i="6"/>
  <c r="AQ10" i="6"/>
  <c r="AP10" i="6"/>
  <c r="AO10" i="6"/>
  <c r="AN10" i="6"/>
  <c r="AM10" i="6"/>
  <c r="AL10" i="6"/>
  <c r="AJ10" i="6"/>
  <c r="AI10" i="6"/>
  <c r="AH10" i="6"/>
  <c r="AG10" i="6"/>
  <c r="AF10" i="6"/>
  <c r="AE10" i="6"/>
  <c r="AD10" i="6"/>
  <c r="AC10" i="6"/>
  <c r="AB10" i="6"/>
  <c r="AA10" i="6"/>
  <c r="Z10" i="6"/>
  <c r="Y10" i="6"/>
  <c r="X10" i="6"/>
  <c r="W10" i="6"/>
  <c r="V10" i="6"/>
  <c r="U10" i="6"/>
  <c r="T10" i="6"/>
  <c r="S10" i="6"/>
  <c r="R10" i="6"/>
  <c r="Q10" i="6"/>
  <c r="P10" i="6"/>
  <c r="O10" i="6"/>
  <c r="N10" i="6"/>
  <c r="M10" i="6"/>
  <c r="L10" i="6"/>
  <c r="F10" i="6"/>
  <c r="E10" i="6"/>
  <c r="D10" i="6"/>
  <c r="C10" i="6"/>
  <c r="ED9" i="6"/>
  <c r="EC9" i="6"/>
  <c r="EB9" i="6"/>
  <c r="EA9" i="6"/>
  <c r="DZ9" i="6"/>
  <c r="DY9" i="6"/>
  <c r="DX9" i="6"/>
  <c r="DW9" i="6"/>
  <c r="DV9" i="6"/>
  <c r="DU9" i="6"/>
  <c r="DT9" i="6"/>
  <c r="DS9" i="6"/>
  <c r="DR9" i="6"/>
  <c r="DQ9" i="6"/>
  <c r="DP9" i="6"/>
  <c r="DO9" i="6"/>
  <c r="DN9" i="6"/>
  <c r="DM9" i="6"/>
  <c r="DL9" i="6"/>
  <c r="DK9" i="6"/>
  <c r="DJ9" i="6"/>
  <c r="DI9" i="6"/>
  <c r="DH9" i="6"/>
  <c r="DG9" i="6"/>
  <c r="DF9" i="6"/>
  <c r="DE9" i="6"/>
  <c r="DD9" i="6"/>
  <c r="DC9" i="6"/>
  <c r="DB9" i="6"/>
  <c r="DA9" i="6"/>
  <c r="CZ9" i="6"/>
  <c r="CY9" i="6"/>
  <c r="CX9" i="6"/>
  <c r="CW9" i="6"/>
  <c r="CV9" i="6"/>
  <c r="CU9" i="6"/>
  <c r="CT9" i="6"/>
  <c r="CS9" i="6"/>
  <c r="CR9" i="6"/>
  <c r="CQ9" i="6"/>
  <c r="CP9" i="6"/>
  <c r="CO9" i="6"/>
  <c r="CN9" i="6"/>
  <c r="CM9" i="6"/>
  <c r="CL9" i="6"/>
  <c r="CK9" i="6"/>
  <c r="CJ9" i="6"/>
  <c r="CI9" i="6"/>
  <c r="CH9" i="6"/>
  <c r="CG9" i="6"/>
  <c r="CF9" i="6"/>
  <c r="CE9" i="6"/>
  <c r="CD9" i="6"/>
  <c r="CC9" i="6"/>
  <c r="CB9" i="6"/>
  <c r="CA9" i="6"/>
  <c r="BZ9" i="6"/>
  <c r="BY9" i="6"/>
  <c r="BX9" i="6"/>
  <c r="BW9" i="6"/>
  <c r="BV9" i="6"/>
  <c r="BU9" i="6"/>
  <c r="BT9" i="6"/>
  <c r="BS9" i="6"/>
  <c r="BR9" i="6"/>
  <c r="BQ9" i="6"/>
  <c r="BP9" i="6"/>
  <c r="BO9" i="6"/>
  <c r="BM9" i="6"/>
  <c r="BL9" i="6"/>
  <c r="BK9" i="6"/>
  <c r="BJ9" i="6"/>
  <c r="BI9" i="6"/>
  <c r="BH9" i="6"/>
  <c r="BG9" i="6"/>
  <c r="BF9" i="6"/>
  <c r="BE9" i="6"/>
  <c r="BD9" i="6"/>
  <c r="BC9" i="6"/>
  <c r="BB9" i="6"/>
  <c r="BA9" i="6"/>
  <c r="AZ9" i="6"/>
  <c r="AY9" i="6"/>
  <c r="AX9" i="6"/>
  <c r="AW9" i="6"/>
  <c r="AV9" i="6"/>
  <c r="AU9" i="6"/>
  <c r="AT9" i="6"/>
  <c r="AS9" i="6"/>
  <c r="AR9" i="6"/>
  <c r="AQ9" i="6"/>
  <c r="AP9" i="6"/>
  <c r="AO9" i="6"/>
  <c r="AN9" i="6"/>
  <c r="AM9" i="6"/>
  <c r="AL9" i="6"/>
  <c r="AJ9" i="6"/>
  <c r="AI9" i="6"/>
  <c r="AH9" i="6"/>
  <c r="AG9" i="6"/>
  <c r="AF9" i="6"/>
  <c r="AE9" i="6"/>
  <c r="AD9" i="6"/>
  <c r="AC9" i="6"/>
  <c r="AB9" i="6"/>
  <c r="AA9" i="6"/>
  <c r="Z9" i="6"/>
  <c r="Y9" i="6"/>
  <c r="X9" i="6"/>
  <c r="W9" i="6"/>
  <c r="V9" i="6"/>
  <c r="U9" i="6"/>
  <c r="T9" i="6"/>
  <c r="S9" i="6"/>
  <c r="R9" i="6"/>
  <c r="Q9" i="6"/>
  <c r="P9" i="6"/>
  <c r="O9" i="6"/>
  <c r="N9" i="6"/>
  <c r="M9" i="6"/>
  <c r="L9" i="6"/>
  <c r="J9" i="6"/>
  <c r="F9" i="6"/>
  <c r="E9" i="6"/>
  <c r="D9" i="6"/>
  <c r="C9" i="6"/>
  <c r="ED8" i="6"/>
  <c r="EC8" i="6"/>
  <c r="EB8" i="6"/>
  <c r="EA8" i="6"/>
  <c r="DZ8" i="6"/>
  <c r="DY8" i="6"/>
  <c r="DX8" i="6"/>
  <c r="DW8" i="6"/>
  <c r="DV8" i="6"/>
  <c r="DU8" i="6"/>
  <c r="DT8" i="6"/>
  <c r="DS8" i="6"/>
  <c r="DR8" i="6"/>
  <c r="DQ8" i="6"/>
  <c r="DP8" i="6"/>
  <c r="DO8" i="6"/>
  <c r="DN8" i="6"/>
  <c r="DM8" i="6"/>
  <c r="DL8" i="6"/>
  <c r="DK8" i="6"/>
  <c r="DJ8" i="6"/>
  <c r="DI8" i="6"/>
  <c r="DH8" i="6"/>
  <c r="DG8" i="6"/>
  <c r="DF8" i="6"/>
  <c r="DE8" i="6"/>
  <c r="DD8" i="6"/>
  <c r="DC8" i="6"/>
  <c r="DB8" i="6"/>
  <c r="DA8" i="6"/>
  <c r="CZ8" i="6"/>
  <c r="CY8" i="6"/>
  <c r="CX8" i="6"/>
  <c r="CW8" i="6"/>
  <c r="CV8" i="6"/>
  <c r="CU8" i="6"/>
  <c r="CT8" i="6"/>
  <c r="CS8" i="6"/>
  <c r="CR8" i="6"/>
  <c r="CQ8" i="6"/>
  <c r="CP8" i="6"/>
  <c r="CO8" i="6"/>
  <c r="CN8" i="6"/>
  <c r="CM8" i="6"/>
  <c r="CL8" i="6"/>
  <c r="CK8" i="6"/>
  <c r="CJ8" i="6"/>
  <c r="CI8" i="6"/>
  <c r="CH8" i="6"/>
  <c r="CG8" i="6"/>
  <c r="CF8" i="6"/>
  <c r="CE8" i="6"/>
  <c r="CD8" i="6"/>
  <c r="CC8" i="6"/>
  <c r="CB8" i="6"/>
  <c r="CA8" i="6"/>
  <c r="BZ8" i="6"/>
  <c r="BY8" i="6"/>
  <c r="BX8" i="6"/>
  <c r="BW8" i="6"/>
  <c r="BV8" i="6"/>
  <c r="BU8" i="6"/>
  <c r="BT8" i="6"/>
  <c r="BS8" i="6"/>
  <c r="BR8" i="6"/>
  <c r="BQ8" i="6"/>
  <c r="BP8" i="6"/>
  <c r="BO8" i="6"/>
  <c r="BM8" i="6"/>
  <c r="BL8" i="6"/>
  <c r="BK8" i="6"/>
  <c r="BJ8" i="6"/>
  <c r="BI8" i="6"/>
  <c r="BH8" i="6"/>
  <c r="BG8" i="6"/>
  <c r="BF8" i="6"/>
  <c r="BE8" i="6"/>
  <c r="BD8" i="6"/>
  <c r="BC8" i="6"/>
  <c r="BB8" i="6"/>
  <c r="BA8" i="6"/>
  <c r="AZ8" i="6"/>
  <c r="AY8" i="6"/>
  <c r="AX8" i="6"/>
  <c r="AW8" i="6"/>
  <c r="AV8" i="6"/>
  <c r="AU8" i="6"/>
  <c r="AT8" i="6"/>
  <c r="AS8" i="6"/>
  <c r="AR8" i="6"/>
  <c r="AQ8" i="6"/>
  <c r="AP8" i="6"/>
  <c r="AO8" i="6"/>
  <c r="AN8" i="6"/>
  <c r="AM8" i="6"/>
  <c r="AL8" i="6"/>
  <c r="AJ8" i="6"/>
  <c r="AI8" i="6"/>
  <c r="AH8" i="6"/>
  <c r="AG8" i="6"/>
  <c r="AF8" i="6"/>
  <c r="AE8" i="6"/>
  <c r="AD8" i="6"/>
  <c r="AC8" i="6"/>
  <c r="AB8" i="6"/>
  <c r="AA8" i="6"/>
  <c r="Z8" i="6"/>
  <c r="Y8" i="6"/>
  <c r="X8" i="6"/>
  <c r="W8" i="6"/>
  <c r="V8" i="6"/>
  <c r="U8" i="6"/>
  <c r="T8" i="6"/>
  <c r="S8" i="6"/>
  <c r="R8" i="6"/>
  <c r="Q8" i="6"/>
  <c r="P8" i="6"/>
  <c r="O8" i="6"/>
  <c r="N8" i="6"/>
  <c r="M8" i="6"/>
  <c r="L8" i="6"/>
  <c r="E8" i="6"/>
  <c r="C8" i="6"/>
  <c r="ED7" i="6"/>
  <c r="EC7" i="6"/>
  <c r="EB7" i="6"/>
  <c r="EA7" i="6"/>
  <c r="DZ7" i="6"/>
  <c r="DY7" i="6"/>
  <c r="DX7" i="6"/>
  <c r="DW7" i="6"/>
  <c r="DV7" i="6"/>
  <c r="DU7" i="6"/>
  <c r="DT7" i="6"/>
  <c r="DS7" i="6"/>
  <c r="DR7" i="6"/>
  <c r="DQ7" i="6"/>
  <c r="DP7" i="6"/>
  <c r="DO7" i="6"/>
  <c r="DN7" i="6"/>
  <c r="DM7" i="6"/>
  <c r="DL7" i="6"/>
  <c r="DK7" i="6"/>
  <c r="DJ7" i="6"/>
  <c r="DI7" i="6"/>
  <c r="DH7" i="6"/>
  <c r="DG7" i="6"/>
  <c r="DF7" i="6"/>
  <c r="DE7" i="6"/>
  <c r="DD7" i="6"/>
  <c r="DC7" i="6"/>
  <c r="DB7" i="6"/>
  <c r="DA7" i="6"/>
  <c r="CZ7" i="6"/>
  <c r="CY7" i="6"/>
  <c r="CX7" i="6"/>
  <c r="CW7" i="6"/>
  <c r="CV7" i="6"/>
  <c r="CU7" i="6"/>
  <c r="CT7" i="6"/>
  <c r="CS7" i="6"/>
  <c r="CR7" i="6"/>
  <c r="CQ7" i="6"/>
  <c r="CP7" i="6"/>
  <c r="CO7" i="6"/>
  <c r="CN7" i="6"/>
  <c r="CM7" i="6"/>
  <c r="CL7" i="6"/>
  <c r="CK7" i="6"/>
  <c r="CJ7" i="6"/>
  <c r="CI7" i="6"/>
  <c r="CH7" i="6"/>
  <c r="CG7" i="6"/>
  <c r="CF7" i="6"/>
  <c r="CE7" i="6"/>
  <c r="CD7" i="6"/>
  <c r="CC7" i="6"/>
  <c r="CB7" i="6"/>
  <c r="CA7" i="6"/>
  <c r="BZ7" i="6"/>
  <c r="BY7" i="6"/>
  <c r="BX7" i="6"/>
  <c r="BW7" i="6"/>
  <c r="BV7" i="6"/>
  <c r="BU7" i="6"/>
  <c r="BT7" i="6"/>
  <c r="BS7" i="6"/>
  <c r="BR7" i="6"/>
  <c r="BQ7" i="6"/>
  <c r="BP7" i="6"/>
  <c r="BO7" i="6"/>
  <c r="BM7" i="6"/>
  <c r="BL7" i="6"/>
  <c r="BK7" i="6"/>
  <c r="BJ7" i="6"/>
  <c r="BI7" i="6"/>
  <c r="BH7" i="6"/>
  <c r="BG7" i="6"/>
  <c r="BF7" i="6"/>
  <c r="BE7" i="6"/>
  <c r="BD7" i="6"/>
  <c r="BC7" i="6"/>
  <c r="BB7" i="6"/>
  <c r="BA7" i="6"/>
  <c r="AZ7" i="6"/>
  <c r="AY7" i="6"/>
  <c r="AX7" i="6"/>
  <c r="AW7" i="6"/>
  <c r="AV7" i="6"/>
  <c r="AU7" i="6"/>
  <c r="AT7" i="6"/>
  <c r="AS7" i="6"/>
  <c r="AR7" i="6"/>
  <c r="AQ7" i="6"/>
  <c r="AP7" i="6"/>
  <c r="AO7" i="6"/>
  <c r="AN7" i="6"/>
  <c r="AM7" i="6"/>
  <c r="AL7" i="6"/>
  <c r="AJ7" i="6"/>
  <c r="AI7" i="6"/>
  <c r="AH7" i="6"/>
  <c r="AG7" i="6"/>
  <c r="AF7" i="6"/>
  <c r="AE7" i="6"/>
  <c r="AD7" i="6"/>
  <c r="AC7" i="6"/>
  <c r="AB7" i="6"/>
  <c r="AA7" i="6"/>
  <c r="Z7" i="6"/>
  <c r="Y7" i="6"/>
  <c r="X7" i="6"/>
  <c r="W7" i="6"/>
  <c r="V7" i="6"/>
  <c r="U7" i="6"/>
  <c r="T7" i="6"/>
  <c r="S7" i="6"/>
  <c r="R7" i="6"/>
  <c r="Q7" i="6"/>
  <c r="P7" i="6"/>
  <c r="O7" i="6"/>
  <c r="N7" i="6"/>
  <c r="E7" i="6"/>
  <c r="C7" i="6"/>
  <c r="E6" i="6"/>
  <c r="K5" i="6"/>
  <c r="J5" i="6"/>
  <c r="F5" i="6"/>
  <c r="E5" i="6"/>
  <c r="AL30" i="11"/>
  <c r="AK30" i="11"/>
  <c r="AJ30" i="11"/>
  <c r="AH30" i="11"/>
  <c r="AG30" i="11"/>
  <c r="AF30" i="11"/>
  <c r="Z30" i="11"/>
  <c r="Y30" i="11"/>
  <c r="X30" i="11"/>
  <c r="AL29" i="11"/>
  <c r="AK29" i="11"/>
  <c r="AJ29" i="11"/>
  <c r="AH29" i="11"/>
  <c r="AG29" i="11"/>
  <c r="AF29" i="11"/>
  <c r="Z29" i="11"/>
  <c r="Y29" i="11"/>
  <c r="X29" i="11"/>
  <c r="AL28" i="11"/>
  <c r="AK28" i="11"/>
  <c r="AJ28" i="11"/>
  <c r="AH28" i="11"/>
  <c r="AG28" i="11"/>
  <c r="AF28" i="11"/>
  <c r="Z28" i="11"/>
  <c r="Y28" i="11"/>
  <c r="X28" i="11"/>
  <c r="AL27" i="11"/>
  <c r="AK27" i="11"/>
  <c r="AJ27" i="11"/>
  <c r="AH27" i="11"/>
  <c r="AG27" i="11"/>
  <c r="AF27" i="11"/>
  <c r="Z27" i="11"/>
  <c r="Y27" i="11"/>
  <c r="X27" i="11"/>
  <c r="AL26" i="11"/>
  <c r="AK26" i="11"/>
  <c r="AJ26" i="11"/>
  <c r="AH26" i="11"/>
  <c r="AG26" i="11"/>
  <c r="AF26" i="11"/>
  <c r="Z26" i="11"/>
  <c r="Y26" i="11"/>
  <c r="X26" i="11"/>
  <c r="AL25" i="11"/>
  <c r="AK25" i="11"/>
  <c r="AJ25" i="11"/>
  <c r="AH25" i="11"/>
  <c r="AG25" i="11"/>
  <c r="AF25" i="11"/>
  <c r="Z25" i="11"/>
  <c r="Y25" i="11"/>
  <c r="X25" i="11"/>
  <c r="AL24" i="11"/>
  <c r="AK24" i="11"/>
  <c r="AJ24" i="11"/>
  <c r="AH24" i="11"/>
  <c r="AG24" i="11"/>
  <c r="AF24" i="11"/>
  <c r="Z24" i="11"/>
  <c r="Y24" i="11"/>
  <c r="X24" i="11"/>
  <c r="AL23" i="11"/>
  <c r="AK23" i="11"/>
  <c r="AJ23" i="11"/>
  <c r="AH23" i="11"/>
  <c r="AG23" i="11"/>
  <c r="AF23" i="11"/>
  <c r="Z23" i="11"/>
  <c r="Y23" i="11"/>
  <c r="X23" i="11"/>
  <c r="AL22" i="11"/>
  <c r="AK22" i="11"/>
  <c r="AJ22" i="11"/>
  <c r="AH22" i="11"/>
  <c r="AG22" i="11"/>
  <c r="AF22" i="11"/>
  <c r="Z22" i="11"/>
  <c r="Y22" i="11"/>
  <c r="X22" i="11"/>
  <c r="L22" i="11"/>
  <c r="L23" i="11" s="1"/>
  <c r="K22" i="11"/>
  <c r="K23" i="11" s="1"/>
  <c r="J22" i="11"/>
  <c r="J23" i="11" s="1"/>
  <c r="AL21" i="11"/>
  <c r="AK21" i="11"/>
  <c r="AJ21" i="11"/>
  <c r="AH21" i="11"/>
  <c r="AG21" i="11"/>
  <c r="AF21" i="11"/>
  <c r="Z21" i="11"/>
  <c r="Y21" i="11"/>
  <c r="X21" i="11"/>
  <c r="AL20" i="11"/>
  <c r="AK20" i="11"/>
  <c r="AJ20" i="11"/>
  <c r="AH20" i="11"/>
  <c r="AG20" i="11"/>
  <c r="AF20" i="11"/>
  <c r="Z20" i="11"/>
  <c r="Y20" i="11"/>
  <c r="X20" i="11"/>
  <c r="AL19" i="11"/>
  <c r="AK19" i="11"/>
  <c r="AJ19" i="11"/>
  <c r="AH19" i="11"/>
  <c r="AG19" i="11"/>
  <c r="AF19" i="11"/>
  <c r="Z19" i="11"/>
  <c r="Y19" i="11"/>
  <c r="X19" i="11"/>
  <c r="AL18" i="11"/>
  <c r="AK18" i="11"/>
  <c r="AJ18" i="11"/>
  <c r="AH18" i="11"/>
  <c r="AG18" i="11"/>
  <c r="AF18" i="11"/>
  <c r="Z18" i="11"/>
  <c r="Y18" i="11"/>
  <c r="X18" i="11"/>
  <c r="AL17" i="11"/>
  <c r="AK17" i="11"/>
  <c r="AJ17" i="11"/>
  <c r="AH17" i="11"/>
  <c r="AG17" i="11"/>
  <c r="AF17" i="11"/>
  <c r="Z17" i="11"/>
  <c r="Y17" i="11"/>
  <c r="X17" i="11"/>
  <c r="AL16" i="11"/>
  <c r="AK16" i="11"/>
  <c r="AJ16" i="11"/>
  <c r="AH16" i="11"/>
  <c r="AG16" i="11"/>
  <c r="AF16" i="11"/>
  <c r="Z16" i="11"/>
  <c r="Y16" i="11"/>
  <c r="X16" i="11"/>
  <c r="AL15" i="11"/>
  <c r="AK15" i="11"/>
  <c r="AJ15" i="11"/>
  <c r="AH15" i="11"/>
  <c r="AG15" i="11"/>
  <c r="AF15" i="11"/>
  <c r="Z15" i="11"/>
  <c r="Y15" i="11"/>
  <c r="X15" i="11"/>
  <c r="AL14" i="11"/>
  <c r="AK14" i="11"/>
  <c r="AJ14" i="11"/>
  <c r="AH14" i="11"/>
  <c r="AG14" i="11"/>
  <c r="AF14" i="11"/>
  <c r="Z14" i="11"/>
  <c r="Y14" i="11"/>
  <c r="X14" i="11"/>
  <c r="AL13" i="11"/>
  <c r="AK13" i="11"/>
  <c r="AJ13" i="11"/>
  <c r="AH13" i="11"/>
  <c r="AG13" i="11"/>
  <c r="AF13" i="11"/>
  <c r="Z13" i="11"/>
  <c r="Y13" i="11"/>
  <c r="X13" i="11"/>
  <c r="AL12" i="11"/>
  <c r="AK12" i="11"/>
  <c r="AJ12" i="11"/>
  <c r="AH12" i="11"/>
  <c r="AG12" i="11"/>
  <c r="AF12" i="11"/>
  <c r="Z12" i="11"/>
  <c r="Y12" i="11"/>
  <c r="X12" i="11"/>
  <c r="E12" i="11"/>
  <c r="E13" i="11" s="1"/>
  <c r="D12" i="11"/>
  <c r="D13" i="11" s="1"/>
  <c r="C12" i="11"/>
  <c r="C13" i="11" s="1"/>
  <c r="AL11" i="11"/>
  <c r="AK11" i="11"/>
  <c r="AJ11" i="11"/>
  <c r="AH11" i="11"/>
  <c r="AG11" i="11"/>
  <c r="AF11" i="11"/>
  <c r="Z11" i="11"/>
  <c r="Y11" i="11"/>
  <c r="X11" i="11"/>
  <c r="AL10" i="11"/>
  <c r="AK10" i="11"/>
  <c r="AJ10" i="11"/>
  <c r="AH10" i="11"/>
  <c r="AG10" i="11"/>
  <c r="AF10" i="11"/>
  <c r="Z10" i="11"/>
  <c r="Y10" i="11"/>
  <c r="X10" i="11"/>
  <c r="E10" i="11"/>
  <c r="D10" i="11"/>
  <c r="C10" i="11"/>
  <c r="AL9" i="11"/>
  <c r="AK9" i="11"/>
  <c r="AJ9" i="11"/>
  <c r="AH9" i="11"/>
  <c r="AG9" i="11"/>
  <c r="AF9" i="11"/>
  <c r="Z9" i="11"/>
  <c r="Y9" i="11"/>
  <c r="X9" i="11"/>
  <c r="E9" i="11"/>
  <c r="D9" i="11"/>
  <c r="C9" i="11"/>
  <c r="AL8" i="11"/>
  <c r="AK8" i="11"/>
  <c r="AJ8" i="11"/>
  <c r="AH8" i="11"/>
  <c r="AG8" i="11"/>
  <c r="AF8" i="11"/>
  <c r="Z8" i="11"/>
  <c r="Y8" i="11"/>
  <c r="X8" i="11"/>
  <c r="E8" i="11"/>
  <c r="D8" i="11"/>
  <c r="C8" i="11"/>
  <c r="AL7" i="11"/>
  <c r="AK7" i="11"/>
  <c r="AJ7" i="11"/>
  <c r="AH7" i="11"/>
  <c r="AG7" i="11"/>
  <c r="AF7" i="11"/>
  <c r="Z7" i="11"/>
  <c r="Y7" i="11"/>
  <c r="X7" i="11"/>
  <c r="E7" i="11"/>
  <c r="D7" i="11"/>
  <c r="C7" i="11"/>
  <c r="AL6" i="11"/>
  <c r="AK6" i="11"/>
  <c r="AJ6" i="11"/>
  <c r="AH6" i="11"/>
  <c r="AG6" i="11"/>
  <c r="AF6" i="11"/>
  <c r="Z6" i="11"/>
  <c r="Y6" i="11"/>
  <c r="X6" i="11"/>
  <c r="S6" i="11"/>
  <c r="S7" i="11" s="1"/>
  <c r="R6" i="11"/>
  <c r="R7" i="11" s="1"/>
  <c r="L6" i="11"/>
  <c r="L7" i="11" s="1"/>
  <c r="K6" i="11"/>
  <c r="K7" i="11" s="1"/>
  <c r="E6" i="11"/>
  <c r="D6" i="11"/>
  <c r="C6" i="11"/>
  <c r="AL5" i="11"/>
  <c r="AK5" i="11"/>
  <c r="AJ5" i="11"/>
  <c r="AH5" i="11"/>
  <c r="AG5" i="11"/>
  <c r="AF5" i="11"/>
  <c r="Z5" i="11"/>
  <c r="Y5" i="11"/>
  <c r="X5" i="11"/>
  <c r="Q5" i="11"/>
  <c r="Q6" i="11" s="1"/>
  <c r="J5" i="11"/>
  <c r="J6" i="11" s="1"/>
  <c r="E5" i="11"/>
  <c r="D5" i="11"/>
  <c r="C5" i="11"/>
  <c r="AL4" i="11"/>
  <c r="AK4" i="11"/>
  <c r="AJ4" i="11"/>
  <c r="AH4" i="11"/>
  <c r="AG4" i="11"/>
  <c r="AF4" i="11"/>
  <c r="Z4" i="11"/>
  <c r="Y4" i="11"/>
  <c r="X4" i="11"/>
  <c r="AU30" i="10"/>
  <c r="AT30" i="10"/>
  <c r="AS30" i="10"/>
  <c r="AQ30" i="10"/>
  <c r="AP30" i="10"/>
  <c r="AO30" i="10"/>
  <c r="Z30" i="10"/>
  <c r="Y30" i="10"/>
  <c r="X30" i="10"/>
  <c r="AU29" i="10"/>
  <c r="AT29" i="10"/>
  <c r="AS29" i="10"/>
  <c r="AQ29" i="10"/>
  <c r="AP29" i="10"/>
  <c r="AO29" i="10"/>
  <c r="Z29" i="10"/>
  <c r="Y29" i="10"/>
  <c r="X29" i="10"/>
  <c r="AU28" i="10"/>
  <c r="AT28" i="10"/>
  <c r="AS28" i="10"/>
  <c r="AQ28" i="10"/>
  <c r="AP28" i="10"/>
  <c r="AO28" i="10"/>
  <c r="Z28" i="10"/>
  <c r="Y28" i="10"/>
  <c r="X28" i="10"/>
  <c r="AU27" i="10"/>
  <c r="AT27" i="10"/>
  <c r="AS27" i="10"/>
  <c r="AQ27" i="10"/>
  <c r="AP27" i="10"/>
  <c r="AO27" i="10"/>
  <c r="Z27" i="10"/>
  <c r="Y27" i="10"/>
  <c r="X27" i="10"/>
  <c r="AU26" i="10"/>
  <c r="AT26" i="10"/>
  <c r="AS26" i="10"/>
  <c r="AQ26" i="10"/>
  <c r="AP26" i="10"/>
  <c r="AO26" i="10"/>
  <c r="Z26" i="10"/>
  <c r="Y26" i="10"/>
  <c r="X26" i="10"/>
  <c r="AU25" i="10"/>
  <c r="AT25" i="10"/>
  <c r="AS25" i="10"/>
  <c r="AQ25" i="10"/>
  <c r="AP25" i="10"/>
  <c r="AO25" i="10"/>
  <c r="Z25" i="10"/>
  <c r="Y25" i="10"/>
  <c r="X25" i="10"/>
  <c r="AU24" i="10"/>
  <c r="AT24" i="10"/>
  <c r="AS24" i="10"/>
  <c r="AQ24" i="10"/>
  <c r="AP24" i="10"/>
  <c r="AO24" i="10"/>
  <c r="Z24" i="10"/>
  <c r="Y24" i="10"/>
  <c r="X24" i="10"/>
  <c r="AU23" i="10"/>
  <c r="AT23" i="10"/>
  <c r="AS23" i="10"/>
  <c r="AQ23" i="10"/>
  <c r="AP23" i="10"/>
  <c r="AO23" i="10"/>
  <c r="Z23" i="10"/>
  <c r="Y23" i="10"/>
  <c r="X23" i="10"/>
  <c r="AU22" i="10"/>
  <c r="AT22" i="10"/>
  <c r="AS22" i="10"/>
  <c r="AQ22" i="10"/>
  <c r="AP22" i="10"/>
  <c r="AO22" i="10"/>
  <c r="Z22" i="10"/>
  <c r="Y22" i="10"/>
  <c r="X22" i="10"/>
  <c r="L22" i="10"/>
  <c r="L23" i="10" s="1"/>
  <c r="K22" i="10"/>
  <c r="K23" i="10" s="1"/>
  <c r="J22" i="10"/>
  <c r="J23" i="10" s="1"/>
  <c r="AU21" i="10"/>
  <c r="AT21" i="10"/>
  <c r="AS21" i="10"/>
  <c r="AQ21" i="10"/>
  <c r="AP21" i="10"/>
  <c r="AO21" i="10"/>
  <c r="Z21" i="10"/>
  <c r="Y21" i="10"/>
  <c r="X21" i="10"/>
  <c r="AU20" i="10"/>
  <c r="AT20" i="10"/>
  <c r="AS20" i="10"/>
  <c r="AQ20" i="10"/>
  <c r="AP20" i="10"/>
  <c r="AO20" i="10"/>
  <c r="Z20" i="10"/>
  <c r="Y20" i="10"/>
  <c r="X20" i="10"/>
  <c r="L20" i="10"/>
  <c r="K20" i="10"/>
  <c r="J20" i="10"/>
  <c r="AU19" i="10"/>
  <c r="AT19" i="10"/>
  <c r="AS19" i="10"/>
  <c r="AQ19" i="10"/>
  <c r="AP19" i="10"/>
  <c r="AO19" i="10"/>
  <c r="Z19" i="10"/>
  <c r="Y19" i="10"/>
  <c r="X19" i="10"/>
  <c r="L19" i="10"/>
  <c r="K19" i="10"/>
  <c r="J19" i="10"/>
  <c r="AU18" i="10"/>
  <c r="AT18" i="10"/>
  <c r="AS18" i="10"/>
  <c r="AQ18" i="10"/>
  <c r="AP18" i="10"/>
  <c r="AO18" i="10"/>
  <c r="Z18" i="10"/>
  <c r="Y18" i="10"/>
  <c r="X18" i="10"/>
  <c r="L18" i="10"/>
  <c r="K18" i="10"/>
  <c r="J18" i="10"/>
  <c r="AU17" i="10"/>
  <c r="AT17" i="10"/>
  <c r="AS17" i="10"/>
  <c r="AQ17" i="10"/>
  <c r="AP17" i="10"/>
  <c r="AO17" i="10"/>
  <c r="Z17" i="10"/>
  <c r="Y17" i="10"/>
  <c r="X17" i="10"/>
  <c r="L17" i="10"/>
  <c r="K17" i="10"/>
  <c r="J17" i="10"/>
  <c r="AU16" i="10"/>
  <c r="AT16" i="10"/>
  <c r="AS16" i="10"/>
  <c r="AQ16" i="10"/>
  <c r="AP16" i="10"/>
  <c r="AO16" i="10"/>
  <c r="Z16" i="10"/>
  <c r="Y16" i="10"/>
  <c r="X16" i="10"/>
  <c r="L16" i="10"/>
  <c r="K16" i="10"/>
  <c r="J16" i="10"/>
  <c r="AU15" i="10"/>
  <c r="AT15" i="10"/>
  <c r="AS15" i="10"/>
  <c r="AQ15" i="10"/>
  <c r="AP15" i="10"/>
  <c r="AO15" i="10"/>
  <c r="Z15" i="10"/>
  <c r="Y15" i="10"/>
  <c r="X15" i="10"/>
  <c r="L15" i="10"/>
  <c r="K15" i="10"/>
  <c r="J15" i="10"/>
  <c r="AU14" i="10"/>
  <c r="AT14" i="10"/>
  <c r="AS14" i="10"/>
  <c r="AQ14" i="10"/>
  <c r="AP14" i="10"/>
  <c r="AO14" i="10"/>
  <c r="Z14" i="10"/>
  <c r="Y14" i="10"/>
  <c r="X14" i="10"/>
  <c r="L14" i="10"/>
  <c r="K14" i="10"/>
  <c r="J14" i="10"/>
  <c r="AU13" i="10"/>
  <c r="AT13" i="10"/>
  <c r="AS13" i="10"/>
  <c r="AQ13" i="10"/>
  <c r="AP13" i="10"/>
  <c r="AO13" i="10"/>
  <c r="Z13" i="10"/>
  <c r="Y13" i="10"/>
  <c r="X13" i="10"/>
  <c r="L13" i="10"/>
  <c r="K13" i="10"/>
  <c r="J13" i="10"/>
  <c r="AU12" i="10"/>
  <c r="AT12" i="10"/>
  <c r="AS12" i="10"/>
  <c r="AQ12" i="10"/>
  <c r="AP12" i="10"/>
  <c r="AO12" i="10"/>
  <c r="Z12" i="10"/>
  <c r="Y12" i="10"/>
  <c r="X12" i="10"/>
  <c r="L12" i="10"/>
  <c r="K12" i="10"/>
  <c r="J12" i="10"/>
  <c r="E12" i="10"/>
  <c r="E13" i="10" s="1"/>
  <c r="D12" i="10"/>
  <c r="D13" i="10" s="1"/>
  <c r="C12" i="10"/>
  <c r="C13" i="10" s="1"/>
  <c r="AU11" i="10"/>
  <c r="AT11" i="10"/>
  <c r="AS11" i="10"/>
  <c r="AQ11" i="10"/>
  <c r="AP11" i="10"/>
  <c r="AO11" i="10"/>
  <c r="Z11" i="10"/>
  <c r="Y11" i="10"/>
  <c r="X11" i="10"/>
  <c r="L11" i="10"/>
  <c r="K11" i="10"/>
  <c r="J11" i="10"/>
  <c r="AU10" i="10"/>
  <c r="AT10" i="10"/>
  <c r="AS10" i="10"/>
  <c r="AQ10" i="10"/>
  <c r="AP10" i="10"/>
  <c r="AO10" i="10"/>
  <c r="Z10" i="10"/>
  <c r="Y10" i="10"/>
  <c r="X10" i="10"/>
  <c r="L10" i="10"/>
  <c r="K10" i="10"/>
  <c r="J10" i="10"/>
  <c r="E10" i="10"/>
  <c r="D10" i="10"/>
  <c r="C10" i="10"/>
  <c r="AU9" i="10"/>
  <c r="AT9" i="10"/>
  <c r="AS9" i="10"/>
  <c r="AQ9" i="10"/>
  <c r="AP9" i="10"/>
  <c r="AO9" i="10"/>
  <c r="Z9" i="10"/>
  <c r="Y9" i="10"/>
  <c r="X9" i="10"/>
  <c r="L9" i="10"/>
  <c r="K9" i="10"/>
  <c r="J9" i="10"/>
  <c r="E9" i="10"/>
  <c r="D9" i="10"/>
  <c r="C9" i="10"/>
  <c r="AU8" i="10"/>
  <c r="AT8" i="10"/>
  <c r="AS8" i="10"/>
  <c r="AQ8" i="10"/>
  <c r="AP8" i="10"/>
  <c r="AO8" i="10"/>
  <c r="Z8" i="10"/>
  <c r="Y8" i="10"/>
  <c r="X8" i="10"/>
  <c r="L8" i="10"/>
  <c r="K8" i="10"/>
  <c r="J8" i="10"/>
  <c r="E8" i="10"/>
  <c r="D8" i="10"/>
  <c r="C8" i="10"/>
  <c r="AU7" i="10"/>
  <c r="AT7" i="10"/>
  <c r="AS7" i="10"/>
  <c r="AQ7" i="10"/>
  <c r="AP7" i="10"/>
  <c r="AO7" i="10"/>
  <c r="Z7" i="10"/>
  <c r="Y7" i="10"/>
  <c r="X7" i="10"/>
  <c r="L7" i="10"/>
  <c r="K7" i="10"/>
  <c r="J7" i="10"/>
  <c r="E7" i="10"/>
  <c r="D7" i="10"/>
  <c r="C7" i="10"/>
  <c r="AU6" i="10"/>
  <c r="AT6" i="10"/>
  <c r="AS6" i="10"/>
  <c r="AQ6" i="10"/>
  <c r="AP6" i="10"/>
  <c r="AO6" i="10"/>
  <c r="Z6" i="10"/>
  <c r="Y6" i="10"/>
  <c r="X6" i="10"/>
  <c r="S6" i="10"/>
  <c r="S7" i="10" s="1"/>
  <c r="R6" i="10"/>
  <c r="R7" i="10" s="1"/>
  <c r="Q6" i="10"/>
  <c r="Q7" i="10" s="1"/>
  <c r="L6" i="10"/>
  <c r="K6" i="10"/>
  <c r="J6" i="10"/>
  <c r="E6" i="10"/>
  <c r="D6" i="10"/>
  <c r="C6" i="10"/>
  <c r="AU5" i="10"/>
  <c r="AT5" i="10"/>
  <c r="AS5" i="10"/>
  <c r="AQ5" i="10"/>
  <c r="AP5" i="10"/>
  <c r="AO5" i="10"/>
  <c r="Z5" i="10"/>
  <c r="Y5" i="10"/>
  <c r="X5" i="10"/>
  <c r="Q5" i="10"/>
  <c r="J5" i="10"/>
  <c r="E5" i="10"/>
  <c r="D5" i="10"/>
  <c r="C5" i="10"/>
  <c r="AU4" i="10"/>
  <c r="AT4" i="10"/>
  <c r="AS4" i="10"/>
  <c r="AQ4" i="10"/>
  <c r="AP4" i="10"/>
  <c r="AO4" i="10"/>
  <c r="Z4" i="10"/>
  <c r="Y4" i="10"/>
  <c r="X4" i="10"/>
  <c r="AJ31" i="9"/>
  <c r="AI31" i="9"/>
  <c r="AH31" i="9"/>
  <c r="AU30" i="9"/>
  <c r="AT30" i="9"/>
  <c r="AS30" i="9"/>
  <c r="AQ30" i="9"/>
  <c r="AP30" i="9"/>
  <c r="AO30" i="9"/>
  <c r="AJ30" i="9"/>
  <c r="AI30" i="9"/>
  <c r="AH30" i="9"/>
  <c r="Z30" i="9"/>
  <c r="Y30" i="9"/>
  <c r="X30" i="9"/>
  <c r="AU29" i="9"/>
  <c r="AT29" i="9"/>
  <c r="AS29" i="9"/>
  <c r="AQ29" i="9"/>
  <c r="AP29" i="9"/>
  <c r="AO29" i="9"/>
  <c r="AJ29" i="9"/>
  <c r="AI29" i="9"/>
  <c r="AH29" i="9"/>
  <c r="Z29" i="9"/>
  <c r="Y29" i="9"/>
  <c r="X29" i="9"/>
  <c r="AU28" i="9"/>
  <c r="AT28" i="9"/>
  <c r="AS28" i="9"/>
  <c r="AQ28" i="9"/>
  <c r="AP28" i="9"/>
  <c r="AO28" i="9"/>
  <c r="AJ28" i="9"/>
  <c r="AI28" i="9"/>
  <c r="AH28" i="9"/>
  <c r="Z28" i="9"/>
  <c r="Y28" i="9"/>
  <c r="X28" i="9"/>
  <c r="AU27" i="9"/>
  <c r="AT27" i="9"/>
  <c r="AS27" i="9"/>
  <c r="AQ27" i="9"/>
  <c r="AP27" i="9"/>
  <c r="AO27" i="9"/>
  <c r="AJ27" i="9"/>
  <c r="AI27" i="9"/>
  <c r="AH27" i="9"/>
  <c r="Z27" i="9"/>
  <c r="Y27" i="9"/>
  <c r="X27" i="9"/>
  <c r="AU26" i="9"/>
  <c r="AT26" i="9"/>
  <c r="AS26" i="9"/>
  <c r="AQ26" i="9"/>
  <c r="AP26" i="9"/>
  <c r="AO26" i="9"/>
  <c r="AJ26" i="9"/>
  <c r="AI26" i="9"/>
  <c r="AH26" i="9"/>
  <c r="Z26" i="9"/>
  <c r="Y26" i="9"/>
  <c r="X26" i="9"/>
  <c r="AU25" i="9"/>
  <c r="AT25" i="9"/>
  <c r="AS25" i="9"/>
  <c r="AQ25" i="9"/>
  <c r="AP25" i="9"/>
  <c r="AO25" i="9"/>
  <c r="AJ25" i="9"/>
  <c r="AI25" i="9"/>
  <c r="AH25" i="9"/>
  <c r="Z25" i="9"/>
  <c r="Y25" i="9"/>
  <c r="X25" i="9"/>
  <c r="AU24" i="9"/>
  <c r="AT24" i="9"/>
  <c r="AS24" i="9"/>
  <c r="AQ24" i="9"/>
  <c r="AP24" i="9"/>
  <c r="AO24" i="9"/>
  <c r="AJ24" i="9"/>
  <c r="AI24" i="9"/>
  <c r="AH24" i="9"/>
  <c r="Z24" i="9"/>
  <c r="Y24" i="9"/>
  <c r="X24" i="9"/>
  <c r="AU23" i="9"/>
  <c r="AT23" i="9"/>
  <c r="AS23" i="9"/>
  <c r="AQ23" i="9"/>
  <c r="AP23" i="9"/>
  <c r="AO23" i="9"/>
  <c r="AJ23" i="9"/>
  <c r="AI23" i="9"/>
  <c r="AH23" i="9"/>
  <c r="Z23" i="9"/>
  <c r="Y23" i="9"/>
  <c r="X23" i="9"/>
  <c r="AU22" i="9"/>
  <c r="AT22" i="9"/>
  <c r="AS22" i="9"/>
  <c r="AQ22" i="9"/>
  <c r="AP22" i="9"/>
  <c r="AO22" i="9"/>
  <c r="AJ22" i="9"/>
  <c r="AI22" i="9"/>
  <c r="AH22" i="9"/>
  <c r="Z22" i="9"/>
  <c r="Y22" i="9"/>
  <c r="X22" i="9"/>
  <c r="L22" i="9"/>
  <c r="K22" i="9"/>
  <c r="J22" i="9"/>
  <c r="AU21" i="9"/>
  <c r="AT21" i="9"/>
  <c r="AS21" i="9"/>
  <c r="AQ21" i="9"/>
  <c r="AP21" i="9"/>
  <c r="AO21" i="9"/>
  <c r="AJ21" i="9"/>
  <c r="AI21" i="9"/>
  <c r="AH21" i="9"/>
  <c r="Z21" i="9"/>
  <c r="Y21" i="9"/>
  <c r="X21" i="9"/>
  <c r="AU20" i="9"/>
  <c r="AT20" i="9"/>
  <c r="AS20" i="9"/>
  <c r="AQ20" i="9"/>
  <c r="AP20" i="9"/>
  <c r="AO20" i="9"/>
  <c r="AJ20" i="9"/>
  <c r="AI20" i="9"/>
  <c r="AH20" i="9"/>
  <c r="Z20" i="9"/>
  <c r="Y20" i="9"/>
  <c r="X20" i="9"/>
  <c r="L20" i="9"/>
  <c r="K20" i="9"/>
  <c r="J20" i="9"/>
  <c r="AU19" i="9"/>
  <c r="AT19" i="9"/>
  <c r="AS19" i="9"/>
  <c r="AQ19" i="9"/>
  <c r="AP19" i="9"/>
  <c r="AO19" i="9"/>
  <c r="AJ19" i="9"/>
  <c r="AI19" i="9"/>
  <c r="AH19" i="9"/>
  <c r="Z19" i="9"/>
  <c r="Y19" i="9"/>
  <c r="X19" i="9"/>
  <c r="L19" i="9"/>
  <c r="K19" i="9"/>
  <c r="J19" i="9"/>
  <c r="AU18" i="9"/>
  <c r="AT18" i="9"/>
  <c r="AS18" i="9"/>
  <c r="AQ18" i="9"/>
  <c r="AP18" i="9"/>
  <c r="AO18" i="9"/>
  <c r="AJ18" i="9"/>
  <c r="AI18" i="9"/>
  <c r="AH18" i="9"/>
  <c r="Z18" i="9"/>
  <c r="Y18" i="9"/>
  <c r="X18" i="9"/>
  <c r="L18" i="9"/>
  <c r="K18" i="9"/>
  <c r="J18" i="9"/>
  <c r="AU17" i="9"/>
  <c r="AT17" i="9"/>
  <c r="AS17" i="9"/>
  <c r="AQ17" i="9"/>
  <c r="AP17" i="9"/>
  <c r="AO17" i="9"/>
  <c r="AJ17" i="9"/>
  <c r="AI17" i="9"/>
  <c r="AH17" i="9"/>
  <c r="Z17" i="9"/>
  <c r="Y17" i="9"/>
  <c r="X17" i="9"/>
  <c r="L17" i="9"/>
  <c r="K17" i="9"/>
  <c r="J17" i="9"/>
  <c r="AU16" i="9"/>
  <c r="AT16" i="9"/>
  <c r="AS16" i="9"/>
  <c r="AQ16" i="9"/>
  <c r="AP16" i="9"/>
  <c r="AO16" i="9"/>
  <c r="AJ16" i="9"/>
  <c r="AI16" i="9"/>
  <c r="AH16" i="9"/>
  <c r="Z16" i="9"/>
  <c r="Y16" i="9"/>
  <c r="X16" i="9"/>
  <c r="L16" i="9"/>
  <c r="K16" i="9"/>
  <c r="J16" i="9"/>
  <c r="AU15" i="9"/>
  <c r="AT15" i="9"/>
  <c r="AS15" i="9"/>
  <c r="AQ15" i="9"/>
  <c r="AP15" i="9"/>
  <c r="AO15" i="9"/>
  <c r="AJ15" i="9"/>
  <c r="AI15" i="9"/>
  <c r="AH15" i="9"/>
  <c r="Z15" i="9"/>
  <c r="Y15" i="9"/>
  <c r="X15" i="9"/>
  <c r="L15" i="9"/>
  <c r="K15" i="9"/>
  <c r="J15" i="9"/>
  <c r="AU14" i="9"/>
  <c r="AT14" i="9"/>
  <c r="AS14" i="9"/>
  <c r="AQ14" i="9"/>
  <c r="AP14" i="9"/>
  <c r="AO14" i="9"/>
  <c r="AJ14" i="9"/>
  <c r="AI14" i="9"/>
  <c r="AH14" i="9"/>
  <c r="Z14" i="9"/>
  <c r="Y14" i="9"/>
  <c r="X14" i="9"/>
  <c r="L14" i="9"/>
  <c r="K14" i="9"/>
  <c r="J14" i="9"/>
  <c r="AU13" i="9"/>
  <c r="AT13" i="9"/>
  <c r="AS13" i="9"/>
  <c r="AQ13" i="9"/>
  <c r="AP13" i="9"/>
  <c r="AO13" i="9"/>
  <c r="AJ13" i="9"/>
  <c r="AI13" i="9"/>
  <c r="AH13" i="9"/>
  <c r="Z13" i="9"/>
  <c r="Y13" i="9"/>
  <c r="X13" i="9"/>
  <c r="L13" i="9"/>
  <c r="K13" i="9"/>
  <c r="J13" i="9"/>
  <c r="AU12" i="9"/>
  <c r="AT12" i="9"/>
  <c r="AS12" i="9"/>
  <c r="AQ12" i="9"/>
  <c r="AP12" i="9"/>
  <c r="AO12" i="9"/>
  <c r="AJ12" i="9"/>
  <c r="AI12" i="9"/>
  <c r="AH12" i="9"/>
  <c r="Z12" i="9"/>
  <c r="Y12" i="9"/>
  <c r="X12" i="9"/>
  <c r="L12" i="9"/>
  <c r="K12" i="9"/>
  <c r="J12" i="9"/>
  <c r="E12" i="9"/>
  <c r="D12" i="9"/>
  <c r="C12" i="9"/>
  <c r="AU11" i="9"/>
  <c r="AT11" i="9"/>
  <c r="AS11" i="9"/>
  <c r="AQ11" i="9"/>
  <c r="AP11" i="9"/>
  <c r="AO11" i="9"/>
  <c r="AJ11" i="9"/>
  <c r="AI11" i="9"/>
  <c r="AH11" i="9"/>
  <c r="Z11" i="9"/>
  <c r="Y11" i="9"/>
  <c r="X11" i="9"/>
  <c r="L11" i="9"/>
  <c r="K11" i="9"/>
  <c r="J11" i="9"/>
  <c r="AU10" i="9"/>
  <c r="AT10" i="9"/>
  <c r="AS10" i="9"/>
  <c r="AQ10" i="9"/>
  <c r="AP10" i="9"/>
  <c r="AO10" i="9"/>
  <c r="AJ10" i="9"/>
  <c r="AI10" i="9"/>
  <c r="AH10" i="9"/>
  <c r="Z10" i="9"/>
  <c r="Y10" i="9"/>
  <c r="X10" i="9"/>
  <c r="L10" i="9"/>
  <c r="K10" i="9"/>
  <c r="J10" i="9"/>
  <c r="E10" i="9"/>
  <c r="D10" i="9"/>
  <c r="C10" i="9"/>
  <c r="AU9" i="9"/>
  <c r="AT9" i="9"/>
  <c r="AS9" i="9"/>
  <c r="AQ9" i="9"/>
  <c r="AP9" i="9"/>
  <c r="AO9" i="9"/>
  <c r="AJ9" i="9"/>
  <c r="AI9" i="9"/>
  <c r="AH9" i="9"/>
  <c r="Z9" i="9"/>
  <c r="Y9" i="9"/>
  <c r="X9" i="9"/>
  <c r="L9" i="9"/>
  <c r="K9" i="9"/>
  <c r="J9" i="9"/>
  <c r="E9" i="9"/>
  <c r="D9" i="9"/>
  <c r="C9" i="9"/>
  <c r="AU8" i="9"/>
  <c r="AT8" i="9"/>
  <c r="AS8" i="9"/>
  <c r="AQ8" i="9"/>
  <c r="AP8" i="9"/>
  <c r="AO8" i="9"/>
  <c r="AJ8" i="9"/>
  <c r="AI8" i="9"/>
  <c r="AH8" i="9"/>
  <c r="Z8" i="9"/>
  <c r="Y8" i="9"/>
  <c r="X8" i="9"/>
  <c r="L8" i="9"/>
  <c r="K8" i="9"/>
  <c r="J8" i="9"/>
  <c r="E8" i="9"/>
  <c r="D8" i="9"/>
  <c r="C8" i="9"/>
  <c r="AU7" i="9"/>
  <c r="AT7" i="9"/>
  <c r="AS7" i="9"/>
  <c r="AQ7" i="9"/>
  <c r="AP7" i="9"/>
  <c r="AO7" i="9"/>
  <c r="AJ7" i="9"/>
  <c r="AI7" i="9"/>
  <c r="AH7" i="9"/>
  <c r="Z7" i="9"/>
  <c r="Y7" i="9"/>
  <c r="X7" i="9"/>
  <c r="L7" i="9"/>
  <c r="K7" i="9"/>
  <c r="J7" i="9"/>
  <c r="E7" i="9"/>
  <c r="D7" i="9"/>
  <c r="C7" i="9"/>
  <c r="AU6" i="9"/>
  <c r="AT6" i="9"/>
  <c r="AS6" i="9"/>
  <c r="AQ6" i="9"/>
  <c r="AP6" i="9"/>
  <c r="AO6" i="9"/>
  <c r="AJ6" i="9"/>
  <c r="AI6" i="9"/>
  <c r="AH6" i="9"/>
  <c r="Z6" i="9"/>
  <c r="Y6" i="9"/>
  <c r="X6" i="9"/>
  <c r="S6" i="9"/>
  <c r="R6" i="9"/>
  <c r="Q6" i="9"/>
  <c r="L6" i="9"/>
  <c r="K6" i="9"/>
  <c r="J6" i="9"/>
  <c r="E6" i="9"/>
  <c r="D6" i="9"/>
  <c r="C6" i="9"/>
  <c r="AU5" i="9"/>
  <c r="AT5" i="9"/>
  <c r="AS5" i="9"/>
  <c r="AQ5" i="9"/>
  <c r="AP5" i="9"/>
  <c r="AO5" i="9"/>
  <c r="AJ5" i="9"/>
  <c r="AI5" i="9"/>
  <c r="AH5" i="9"/>
  <c r="Z5" i="9"/>
  <c r="Y5" i="9"/>
  <c r="X5" i="9"/>
  <c r="E5" i="9"/>
  <c r="D5" i="9"/>
  <c r="C5" i="9"/>
  <c r="AU4" i="9"/>
  <c r="AT4" i="9"/>
  <c r="AS4" i="9"/>
  <c r="AQ4" i="9"/>
  <c r="AP4" i="9"/>
  <c r="AO4" i="9"/>
  <c r="AJ4" i="9"/>
  <c r="AI4" i="9"/>
  <c r="AH4" i="9"/>
  <c r="Z4" i="9"/>
  <c r="Y4" i="9"/>
  <c r="X4" i="9"/>
  <c r="AA90" i="13"/>
  <c r="Z90" i="13"/>
  <c r="Y90" i="13"/>
  <c r="X90" i="13"/>
  <c r="W90" i="13"/>
  <c r="V90" i="13"/>
  <c r="U90" i="13"/>
  <c r="T90" i="13"/>
  <c r="S90" i="13"/>
  <c r="R90" i="13"/>
  <c r="Q90" i="13"/>
  <c r="P90" i="13"/>
  <c r="O90" i="13"/>
  <c r="N90" i="13"/>
  <c r="L90" i="13"/>
  <c r="K90" i="13"/>
  <c r="J90" i="13"/>
  <c r="I90" i="13"/>
  <c r="H90" i="13"/>
  <c r="G90" i="13"/>
  <c r="E90" i="13"/>
  <c r="D90" i="13"/>
  <c r="C90" i="13"/>
  <c r="B90" i="13"/>
  <c r="A90" i="13"/>
  <c r="AA89" i="13"/>
  <c r="Z89" i="13"/>
  <c r="Y89" i="13"/>
  <c r="X89" i="13"/>
  <c r="W89" i="13"/>
  <c r="V89" i="13"/>
  <c r="U89" i="13"/>
  <c r="T89" i="13"/>
  <c r="S89" i="13"/>
  <c r="R89" i="13"/>
  <c r="Q89" i="13"/>
  <c r="P89" i="13"/>
  <c r="O89" i="13"/>
  <c r="N89" i="13"/>
  <c r="L89" i="13"/>
  <c r="K89" i="13"/>
  <c r="J89" i="13"/>
  <c r="I89" i="13"/>
  <c r="H89" i="13"/>
  <c r="G89" i="13"/>
  <c r="E89" i="13"/>
  <c r="D89" i="13"/>
  <c r="C89" i="13"/>
  <c r="B89" i="13"/>
  <c r="A89" i="13"/>
  <c r="AA88" i="13"/>
  <c r="Z88" i="13"/>
  <c r="Y88" i="13"/>
  <c r="X88" i="13"/>
  <c r="W88" i="13"/>
  <c r="V88" i="13"/>
  <c r="U88" i="13"/>
  <c r="T88" i="13"/>
  <c r="S88" i="13"/>
  <c r="R88" i="13"/>
  <c r="Q88" i="13"/>
  <c r="P88" i="13"/>
  <c r="O88" i="13"/>
  <c r="N88" i="13"/>
  <c r="L88" i="13"/>
  <c r="K88" i="13"/>
  <c r="J88" i="13"/>
  <c r="I88" i="13"/>
  <c r="H88" i="13"/>
  <c r="G88" i="13"/>
  <c r="E88" i="13"/>
  <c r="D88" i="13"/>
  <c r="C88" i="13"/>
  <c r="B88" i="13"/>
  <c r="A88" i="13"/>
  <c r="AA87" i="13"/>
  <c r="Z87" i="13"/>
  <c r="Y87" i="13"/>
  <c r="X87" i="13"/>
  <c r="W87" i="13"/>
  <c r="V87" i="13"/>
  <c r="U87" i="13"/>
  <c r="T87" i="13"/>
  <c r="S87" i="13"/>
  <c r="R87" i="13"/>
  <c r="Q87" i="13"/>
  <c r="P87" i="13"/>
  <c r="O87" i="13"/>
  <c r="N87" i="13"/>
  <c r="L87" i="13"/>
  <c r="K87" i="13"/>
  <c r="J87" i="13"/>
  <c r="I87" i="13"/>
  <c r="H87" i="13"/>
  <c r="G87" i="13"/>
  <c r="E87" i="13"/>
  <c r="D87" i="13"/>
  <c r="C87" i="13"/>
  <c r="B87" i="13"/>
  <c r="A87" i="13"/>
  <c r="AA86" i="13"/>
  <c r="Z86" i="13"/>
  <c r="Y86" i="13"/>
  <c r="X86" i="13"/>
  <c r="W86" i="13"/>
  <c r="V86" i="13"/>
  <c r="U86" i="13"/>
  <c r="T86" i="13"/>
  <c r="S86" i="13"/>
  <c r="R86" i="13"/>
  <c r="Q86" i="13"/>
  <c r="P86" i="13"/>
  <c r="O86" i="13"/>
  <c r="N86" i="13"/>
  <c r="L86" i="13"/>
  <c r="K86" i="13"/>
  <c r="J86" i="13"/>
  <c r="I86" i="13"/>
  <c r="H86" i="13"/>
  <c r="G86" i="13"/>
  <c r="E86" i="13"/>
  <c r="D86" i="13"/>
  <c r="C86" i="13"/>
  <c r="B86" i="13"/>
  <c r="A86" i="13"/>
  <c r="AA85" i="13"/>
  <c r="Z85" i="13"/>
  <c r="Y85" i="13"/>
  <c r="X85" i="13"/>
  <c r="W85" i="13"/>
  <c r="V85" i="13"/>
  <c r="U85" i="13"/>
  <c r="T85" i="13"/>
  <c r="S85" i="13"/>
  <c r="R85" i="13"/>
  <c r="Q85" i="13"/>
  <c r="P85" i="13"/>
  <c r="O85" i="13"/>
  <c r="N85" i="13"/>
  <c r="L85" i="13"/>
  <c r="K85" i="13"/>
  <c r="J85" i="13"/>
  <c r="I85" i="13"/>
  <c r="H85" i="13"/>
  <c r="G85" i="13"/>
  <c r="E85" i="13"/>
  <c r="D85" i="13"/>
  <c r="C85" i="13"/>
  <c r="B85" i="13"/>
  <c r="A85" i="13"/>
  <c r="AA84" i="13"/>
  <c r="Z84" i="13"/>
  <c r="Y84" i="13"/>
  <c r="X84" i="13"/>
  <c r="W84" i="13"/>
  <c r="V84" i="13"/>
  <c r="U84" i="13"/>
  <c r="T84" i="13"/>
  <c r="S84" i="13"/>
  <c r="R84" i="13"/>
  <c r="Q84" i="13"/>
  <c r="P84" i="13"/>
  <c r="O84" i="13"/>
  <c r="N84" i="13"/>
  <c r="L84" i="13"/>
  <c r="K84" i="13"/>
  <c r="J84" i="13"/>
  <c r="I84" i="13"/>
  <c r="H84" i="13"/>
  <c r="G84" i="13"/>
  <c r="E84" i="13"/>
  <c r="D84" i="13"/>
  <c r="C84" i="13"/>
  <c r="B84" i="13"/>
  <c r="A84" i="13"/>
  <c r="AA83" i="13"/>
  <c r="Z83" i="13"/>
  <c r="Y83" i="13"/>
  <c r="X83" i="13"/>
  <c r="W83" i="13"/>
  <c r="V83" i="13"/>
  <c r="U83" i="13"/>
  <c r="T83" i="13"/>
  <c r="S83" i="13"/>
  <c r="R83" i="13"/>
  <c r="Q83" i="13"/>
  <c r="P83" i="13"/>
  <c r="O83" i="13"/>
  <c r="N83" i="13"/>
  <c r="L83" i="13"/>
  <c r="K83" i="13"/>
  <c r="J83" i="13"/>
  <c r="I83" i="13"/>
  <c r="H83" i="13"/>
  <c r="G83" i="13"/>
  <c r="E83" i="13"/>
  <c r="D83" i="13"/>
  <c r="C83" i="13"/>
  <c r="B83" i="13"/>
  <c r="A83" i="13"/>
  <c r="AA82" i="13"/>
  <c r="Z82" i="13"/>
  <c r="Y82" i="13"/>
  <c r="X82" i="13"/>
  <c r="W82" i="13"/>
  <c r="V82" i="13"/>
  <c r="U82" i="13"/>
  <c r="T82" i="13"/>
  <c r="S82" i="13"/>
  <c r="R82" i="13"/>
  <c r="Q82" i="13"/>
  <c r="P82" i="13"/>
  <c r="O82" i="13"/>
  <c r="N82" i="13"/>
  <c r="L82" i="13"/>
  <c r="K82" i="13"/>
  <c r="J82" i="13"/>
  <c r="I82" i="13"/>
  <c r="H82" i="13"/>
  <c r="G82" i="13"/>
  <c r="E82" i="13"/>
  <c r="D82" i="13"/>
  <c r="C82" i="13"/>
  <c r="B82" i="13"/>
  <c r="A82" i="13"/>
  <c r="AA81" i="13"/>
  <c r="Z81" i="13"/>
  <c r="Y81" i="13"/>
  <c r="X81" i="13"/>
  <c r="W81" i="13"/>
  <c r="V81" i="13"/>
  <c r="U81" i="13"/>
  <c r="T81" i="13"/>
  <c r="S81" i="13"/>
  <c r="R81" i="13"/>
  <c r="Q81" i="13"/>
  <c r="P81" i="13"/>
  <c r="O81" i="13"/>
  <c r="N81" i="13"/>
  <c r="L81" i="13"/>
  <c r="K81" i="13"/>
  <c r="J81" i="13"/>
  <c r="I81" i="13"/>
  <c r="H81" i="13"/>
  <c r="G81" i="13"/>
  <c r="E81" i="13"/>
  <c r="D81" i="13"/>
  <c r="C81" i="13"/>
  <c r="B81" i="13"/>
  <c r="A81" i="13"/>
  <c r="AA80" i="13"/>
  <c r="Z80" i="13"/>
  <c r="Y80" i="13"/>
  <c r="X80" i="13"/>
  <c r="W80" i="13"/>
  <c r="V80" i="13"/>
  <c r="U80" i="13"/>
  <c r="T80" i="13"/>
  <c r="S80" i="13"/>
  <c r="R80" i="13"/>
  <c r="Q80" i="13"/>
  <c r="P80" i="13"/>
  <c r="O80" i="13"/>
  <c r="N80" i="13"/>
  <c r="L80" i="13"/>
  <c r="K80" i="13"/>
  <c r="J80" i="13"/>
  <c r="I80" i="13"/>
  <c r="H80" i="13"/>
  <c r="G80" i="13"/>
  <c r="E80" i="13"/>
  <c r="D80" i="13"/>
  <c r="C80" i="13"/>
  <c r="B80" i="13"/>
  <c r="A80" i="13"/>
  <c r="AA79" i="13"/>
  <c r="Z79" i="13"/>
  <c r="Y79" i="13"/>
  <c r="X79" i="13"/>
  <c r="W79" i="13"/>
  <c r="V79" i="13"/>
  <c r="U79" i="13"/>
  <c r="T79" i="13"/>
  <c r="S79" i="13"/>
  <c r="R79" i="13"/>
  <c r="Q79" i="13"/>
  <c r="P79" i="13"/>
  <c r="O79" i="13"/>
  <c r="N79" i="13"/>
  <c r="L79" i="13"/>
  <c r="K79" i="13"/>
  <c r="J79" i="13"/>
  <c r="I79" i="13"/>
  <c r="H79" i="13"/>
  <c r="G79" i="13"/>
  <c r="E79" i="13"/>
  <c r="D79" i="13"/>
  <c r="C79" i="13"/>
  <c r="B79" i="13"/>
  <c r="A79" i="13"/>
  <c r="AA78" i="13"/>
  <c r="Z78" i="13"/>
  <c r="Y78" i="13"/>
  <c r="X78" i="13"/>
  <c r="W78" i="13"/>
  <c r="V78" i="13"/>
  <c r="U78" i="13"/>
  <c r="T78" i="13"/>
  <c r="S78" i="13"/>
  <c r="R78" i="13"/>
  <c r="Q78" i="13"/>
  <c r="P78" i="13"/>
  <c r="O78" i="13"/>
  <c r="N78" i="13"/>
  <c r="L78" i="13"/>
  <c r="K78" i="13"/>
  <c r="J78" i="13"/>
  <c r="I78" i="13"/>
  <c r="H78" i="13"/>
  <c r="G78" i="13"/>
  <c r="E78" i="13"/>
  <c r="D78" i="13"/>
  <c r="C78" i="13"/>
  <c r="B78" i="13"/>
  <c r="A78" i="13"/>
  <c r="AA77" i="13"/>
  <c r="Z77" i="13"/>
  <c r="Y77" i="13"/>
  <c r="X77" i="13"/>
  <c r="W77" i="13"/>
  <c r="V77" i="13"/>
  <c r="U77" i="13"/>
  <c r="T77" i="13"/>
  <c r="S77" i="13"/>
  <c r="R77" i="13"/>
  <c r="Q77" i="13"/>
  <c r="P77" i="13"/>
  <c r="O77" i="13"/>
  <c r="N77" i="13"/>
  <c r="L77" i="13"/>
  <c r="K77" i="13"/>
  <c r="J77" i="13"/>
  <c r="I77" i="13"/>
  <c r="H77" i="13"/>
  <c r="G77" i="13"/>
  <c r="E77" i="13"/>
  <c r="D77" i="13"/>
  <c r="C77" i="13"/>
  <c r="B77" i="13"/>
  <c r="A77" i="13"/>
  <c r="AA76" i="13"/>
  <c r="Z76" i="13"/>
  <c r="Y76" i="13"/>
  <c r="X76" i="13"/>
  <c r="W76" i="13"/>
  <c r="V76" i="13"/>
  <c r="U76" i="13"/>
  <c r="T76" i="13"/>
  <c r="S76" i="13"/>
  <c r="R76" i="13"/>
  <c r="Q76" i="13"/>
  <c r="P76" i="13"/>
  <c r="O76" i="13"/>
  <c r="N76" i="13"/>
  <c r="L76" i="13"/>
  <c r="K76" i="13"/>
  <c r="J76" i="13"/>
  <c r="I76" i="13"/>
  <c r="H76" i="13"/>
  <c r="G76" i="13"/>
  <c r="E76" i="13"/>
  <c r="D76" i="13"/>
  <c r="C76" i="13"/>
  <c r="B76" i="13"/>
  <c r="A76" i="13"/>
  <c r="AA75" i="13"/>
  <c r="Z75" i="13"/>
  <c r="Y75" i="13"/>
  <c r="X75" i="13"/>
  <c r="W75" i="13"/>
  <c r="V75" i="13"/>
  <c r="U75" i="13"/>
  <c r="T75" i="13"/>
  <c r="S75" i="13"/>
  <c r="R75" i="13"/>
  <c r="Q75" i="13"/>
  <c r="P75" i="13"/>
  <c r="O75" i="13"/>
  <c r="N75" i="13"/>
  <c r="L75" i="13"/>
  <c r="K75" i="13"/>
  <c r="J75" i="13"/>
  <c r="I75" i="13"/>
  <c r="H75" i="13"/>
  <c r="G75" i="13"/>
  <c r="E75" i="13"/>
  <c r="D75" i="13"/>
  <c r="C75" i="13"/>
  <c r="B75" i="13"/>
  <c r="A75" i="13"/>
  <c r="AA74" i="13"/>
  <c r="Z74" i="13"/>
  <c r="Y74" i="13"/>
  <c r="X74" i="13"/>
  <c r="W74" i="13"/>
  <c r="V74" i="13"/>
  <c r="U74" i="13"/>
  <c r="T74" i="13"/>
  <c r="S74" i="13"/>
  <c r="R74" i="13"/>
  <c r="Q74" i="13"/>
  <c r="P74" i="13"/>
  <c r="O74" i="13"/>
  <c r="N74" i="13"/>
  <c r="L74" i="13"/>
  <c r="K74" i="13"/>
  <c r="J74" i="13"/>
  <c r="I74" i="13"/>
  <c r="H74" i="13"/>
  <c r="G74" i="13"/>
  <c r="E74" i="13"/>
  <c r="D74" i="13"/>
  <c r="C74" i="13"/>
  <c r="B74" i="13"/>
  <c r="A74" i="13"/>
  <c r="AA73" i="13"/>
  <c r="Z73" i="13"/>
  <c r="Y73" i="13"/>
  <c r="X73" i="13"/>
  <c r="W73" i="13"/>
  <c r="V73" i="13"/>
  <c r="U73" i="13"/>
  <c r="T73" i="13"/>
  <c r="S73" i="13"/>
  <c r="R73" i="13"/>
  <c r="Q73" i="13"/>
  <c r="P73" i="13"/>
  <c r="O73" i="13"/>
  <c r="N73" i="13"/>
  <c r="L73" i="13"/>
  <c r="K73" i="13"/>
  <c r="J73" i="13"/>
  <c r="I73" i="13"/>
  <c r="H73" i="13"/>
  <c r="G73" i="13"/>
  <c r="E73" i="13"/>
  <c r="D73" i="13"/>
  <c r="C73" i="13"/>
  <c r="B73" i="13"/>
  <c r="A73" i="13"/>
  <c r="AA72" i="13"/>
  <c r="Z72" i="13"/>
  <c r="Y72" i="13"/>
  <c r="X72" i="13"/>
  <c r="W72" i="13"/>
  <c r="V72" i="13"/>
  <c r="U72" i="13"/>
  <c r="T72" i="13"/>
  <c r="S72" i="13"/>
  <c r="R72" i="13"/>
  <c r="Q72" i="13"/>
  <c r="P72" i="13"/>
  <c r="O72" i="13"/>
  <c r="N72" i="13"/>
  <c r="L72" i="13"/>
  <c r="K72" i="13"/>
  <c r="J72" i="13"/>
  <c r="I72" i="13"/>
  <c r="H72" i="13"/>
  <c r="G72" i="13"/>
  <c r="E72" i="13"/>
  <c r="D72" i="13"/>
  <c r="C72" i="13"/>
  <c r="B72" i="13"/>
  <c r="A72" i="13"/>
  <c r="AA71" i="13"/>
  <c r="Z71" i="13"/>
  <c r="Y71" i="13"/>
  <c r="X71" i="13"/>
  <c r="W71" i="13"/>
  <c r="V71" i="13"/>
  <c r="U71" i="13"/>
  <c r="T71" i="13"/>
  <c r="S71" i="13"/>
  <c r="R71" i="13"/>
  <c r="Q71" i="13"/>
  <c r="P71" i="13"/>
  <c r="O71" i="13"/>
  <c r="N71" i="13"/>
  <c r="L71" i="13"/>
  <c r="K71" i="13"/>
  <c r="J71" i="13"/>
  <c r="I71" i="13"/>
  <c r="H71" i="13"/>
  <c r="G71" i="13"/>
  <c r="E71" i="13"/>
  <c r="D71" i="13"/>
  <c r="C71" i="13"/>
  <c r="B71" i="13"/>
  <c r="A71" i="13"/>
  <c r="AA70" i="13"/>
  <c r="Z70" i="13"/>
  <c r="Y70" i="13"/>
  <c r="X70" i="13"/>
  <c r="W70" i="13"/>
  <c r="V70" i="13"/>
  <c r="U70" i="13"/>
  <c r="T70" i="13"/>
  <c r="S70" i="13"/>
  <c r="R70" i="13"/>
  <c r="Q70" i="13"/>
  <c r="P70" i="13"/>
  <c r="O70" i="13"/>
  <c r="N70" i="13"/>
  <c r="L70" i="13"/>
  <c r="K70" i="13"/>
  <c r="J70" i="13"/>
  <c r="I70" i="13"/>
  <c r="H70" i="13"/>
  <c r="G70" i="13"/>
  <c r="E70" i="13"/>
  <c r="D70" i="13"/>
  <c r="C70" i="13"/>
  <c r="B70" i="13"/>
  <c r="A70" i="13"/>
  <c r="AA69" i="13"/>
  <c r="Z69" i="13"/>
  <c r="Y69" i="13"/>
  <c r="X69" i="13"/>
  <c r="W69" i="13"/>
  <c r="V69" i="13"/>
  <c r="U69" i="13"/>
  <c r="T69" i="13"/>
  <c r="S69" i="13"/>
  <c r="R69" i="13"/>
  <c r="Q69" i="13"/>
  <c r="P69" i="13"/>
  <c r="O69" i="13"/>
  <c r="N69" i="13"/>
  <c r="L69" i="13"/>
  <c r="K69" i="13"/>
  <c r="J69" i="13"/>
  <c r="I69" i="13"/>
  <c r="H69" i="13"/>
  <c r="G69" i="13"/>
  <c r="E69" i="13"/>
  <c r="D69" i="13"/>
  <c r="C69" i="13"/>
  <c r="B69" i="13"/>
  <c r="A69" i="13"/>
  <c r="AA68" i="13"/>
  <c r="Z68" i="13"/>
  <c r="Y68" i="13"/>
  <c r="X68" i="13"/>
  <c r="W68" i="13"/>
  <c r="V68" i="13"/>
  <c r="U68" i="13"/>
  <c r="T68" i="13"/>
  <c r="S68" i="13"/>
  <c r="R68" i="13"/>
  <c r="Q68" i="13"/>
  <c r="P68" i="13"/>
  <c r="O68" i="13"/>
  <c r="N68" i="13"/>
  <c r="L68" i="13"/>
  <c r="K68" i="13"/>
  <c r="J68" i="13"/>
  <c r="I68" i="13"/>
  <c r="H68" i="13"/>
  <c r="G68" i="13"/>
  <c r="E68" i="13"/>
  <c r="D68" i="13"/>
  <c r="C68" i="13"/>
  <c r="B68" i="13"/>
  <c r="A68" i="13"/>
  <c r="AA67" i="13"/>
  <c r="Z67" i="13"/>
  <c r="Y67" i="13"/>
  <c r="X67" i="13"/>
  <c r="W67" i="13"/>
  <c r="V67" i="13"/>
  <c r="U67" i="13"/>
  <c r="T67" i="13"/>
  <c r="S67" i="13"/>
  <c r="R67" i="13"/>
  <c r="Q67" i="13"/>
  <c r="P67" i="13"/>
  <c r="O67" i="13"/>
  <c r="N67" i="13"/>
  <c r="L67" i="13"/>
  <c r="K67" i="13"/>
  <c r="J67" i="13"/>
  <c r="I67" i="13"/>
  <c r="H67" i="13"/>
  <c r="G67" i="13"/>
  <c r="E67" i="13"/>
  <c r="D67" i="13"/>
  <c r="C67" i="13"/>
  <c r="B67" i="13"/>
  <c r="A67" i="13"/>
  <c r="AA66" i="13"/>
  <c r="Z66" i="13"/>
  <c r="Y66" i="13"/>
  <c r="X66" i="13"/>
  <c r="W66" i="13"/>
  <c r="V66" i="13"/>
  <c r="U66" i="13"/>
  <c r="T66" i="13"/>
  <c r="S66" i="13"/>
  <c r="R66" i="13"/>
  <c r="Q66" i="13"/>
  <c r="P66" i="13"/>
  <c r="O66" i="13"/>
  <c r="N66" i="13"/>
  <c r="L66" i="13"/>
  <c r="K66" i="13"/>
  <c r="J66" i="13"/>
  <c r="I66" i="13"/>
  <c r="H66" i="13"/>
  <c r="G66" i="13"/>
  <c r="E66" i="13"/>
  <c r="D66" i="13"/>
  <c r="C66" i="13"/>
  <c r="B66" i="13"/>
  <c r="A66" i="13"/>
  <c r="AA65" i="13"/>
  <c r="Z65" i="13"/>
  <c r="Y65" i="13"/>
  <c r="X65" i="13"/>
  <c r="W65" i="13"/>
  <c r="V65" i="13"/>
  <c r="U65" i="13"/>
  <c r="T65" i="13"/>
  <c r="S65" i="13"/>
  <c r="R65" i="13"/>
  <c r="Q65" i="13"/>
  <c r="P65" i="13"/>
  <c r="O65" i="13"/>
  <c r="N65" i="13"/>
  <c r="L65" i="13"/>
  <c r="K65" i="13"/>
  <c r="J65" i="13"/>
  <c r="I65" i="13"/>
  <c r="H65" i="13"/>
  <c r="G65" i="13"/>
  <c r="E65" i="13"/>
  <c r="D65" i="13"/>
  <c r="C65" i="13"/>
  <c r="B65" i="13"/>
  <c r="A65" i="13"/>
  <c r="AA64" i="13"/>
  <c r="Z64" i="13"/>
  <c r="Y64" i="13"/>
  <c r="X64" i="13"/>
  <c r="W64" i="13"/>
  <c r="V64" i="13"/>
  <c r="U64" i="13"/>
  <c r="T64" i="13"/>
  <c r="S64" i="13"/>
  <c r="R64" i="13"/>
  <c r="Q64" i="13"/>
  <c r="P64" i="13"/>
  <c r="O64" i="13"/>
  <c r="L64" i="13"/>
  <c r="K64" i="13"/>
  <c r="J64" i="13"/>
  <c r="I64" i="13"/>
  <c r="H64" i="13"/>
  <c r="E64" i="13"/>
  <c r="D64" i="13"/>
  <c r="C64" i="13"/>
  <c r="B64" i="13"/>
  <c r="AA60" i="13"/>
  <c r="Z60" i="13"/>
  <c r="Y60" i="13"/>
  <c r="X60" i="13"/>
  <c r="W60" i="13"/>
  <c r="V60" i="13"/>
  <c r="U60" i="13"/>
  <c r="T60" i="13"/>
  <c r="S60" i="13"/>
  <c r="R60" i="13"/>
  <c r="Q60" i="13"/>
  <c r="P60" i="13"/>
  <c r="O60" i="13"/>
  <c r="N60" i="13"/>
  <c r="L60" i="13"/>
  <c r="K60" i="13"/>
  <c r="J60" i="13"/>
  <c r="I60" i="13"/>
  <c r="H60" i="13"/>
  <c r="G60" i="13"/>
  <c r="E60" i="13"/>
  <c r="D60" i="13"/>
  <c r="C60" i="13"/>
  <c r="B60" i="13"/>
  <c r="A60" i="13"/>
  <c r="AA59" i="13"/>
  <c r="Z59" i="13"/>
  <c r="Y59" i="13"/>
  <c r="X59" i="13"/>
  <c r="W59" i="13"/>
  <c r="V59" i="13"/>
  <c r="U59" i="13"/>
  <c r="T59" i="13"/>
  <c r="S59" i="13"/>
  <c r="R59" i="13"/>
  <c r="Q59" i="13"/>
  <c r="P59" i="13"/>
  <c r="O59" i="13"/>
  <c r="N59" i="13"/>
  <c r="L59" i="13"/>
  <c r="K59" i="13"/>
  <c r="J59" i="13"/>
  <c r="I59" i="13"/>
  <c r="H59" i="13"/>
  <c r="G59" i="13"/>
  <c r="E59" i="13"/>
  <c r="D59" i="13"/>
  <c r="C59" i="13"/>
  <c r="B59" i="13"/>
  <c r="A59" i="13"/>
  <c r="AA58" i="13"/>
  <c r="Z58" i="13"/>
  <c r="Y58" i="13"/>
  <c r="X58" i="13"/>
  <c r="W58" i="13"/>
  <c r="V58" i="13"/>
  <c r="U58" i="13"/>
  <c r="T58" i="13"/>
  <c r="S58" i="13"/>
  <c r="R58" i="13"/>
  <c r="Q58" i="13"/>
  <c r="P58" i="13"/>
  <c r="O58" i="13"/>
  <c r="N58" i="13"/>
  <c r="L58" i="13"/>
  <c r="K58" i="13"/>
  <c r="J58" i="13"/>
  <c r="I58" i="13"/>
  <c r="H58" i="13"/>
  <c r="G58" i="13"/>
  <c r="E58" i="13"/>
  <c r="D58" i="13"/>
  <c r="C58" i="13"/>
  <c r="B58" i="13"/>
  <c r="A58" i="13"/>
  <c r="AA57" i="13"/>
  <c r="Z57" i="13"/>
  <c r="Y57" i="13"/>
  <c r="X57" i="13"/>
  <c r="W57" i="13"/>
  <c r="V57" i="13"/>
  <c r="U57" i="13"/>
  <c r="T57" i="13"/>
  <c r="S57" i="13"/>
  <c r="R57" i="13"/>
  <c r="Q57" i="13"/>
  <c r="P57" i="13"/>
  <c r="O57" i="13"/>
  <c r="N57" i="13"/>
  <c r="L57" i="13"/>
  <c r="K57" i="13"/>
  <c r="J57" i="13"/>
  <c r="I57" i="13"/>
  <c r="H57" i="13"/>
  <c r="G57" i="13"/>
  <c r="E57" i="13"/>
  <c r="D57" i="13"/>
  <c r="C57" i="13"/>
  <c r="B57" i="13"/>
  <c r="A57" i="13"/>
  <c r="AA56" i="13"/>
  <c r="Z56" i="13"/>
  <c r="Y56" i="13"/>
  <c r="X56" i="13"/>
  <c r="W56" i="13"/>
  <c r="V56" i="13"/>
  <c r="U56" i="13"/>
  <c r="T56" i="13"/>
  <c r="S56" i="13"/>
  <c r="R56" i="13"/>
  <c r="Q56" i="13"/>
  <c r="P56" i="13"/>
  <c r="O56" i="13"/>
  <c r="N56" i="13"/>
  <c r="L56" i="13"/>
  <c r="K56" i="13"/>
  <c r="J56" i="13"/>
  <c r="I56" i="13"/>
  <c r="H56" i="13"/>
  <c r="G56" i="13"/>
  <c r="E56" i="13"/>
  <c r="D56" i="13"/>
  <c r="C56" i="13"/>
  <c r="B56" i="13"/>
  <c r="A56" i="13"/>
  <c r="AA55" i="13"/>
  <c r="Z55" i="13"/>
  <c r="Y55" i="13"/>
  <c r="X55" i="13"/>
  <c r="W55" i="13"/>
  <c r="V55" i="13"/>
  <c r="U55" i="13"/>
  <c r="T55" i="13"/>
  <c r="S55" i="13"/>
  <c r="R55" i="13"/>
  <c r="Q55" i="13"/>
  <c r="P55" i="13"/>
  <c r="O55" i="13"/>
  <c r="N55" i="13"/>
  <c r="L55" i="13"/>
  <c r="K55" i="13"/>
  <c r="J55" i="13"/>
  <c r="I55" i="13"/>
  <c r="H55" i="13"/>
  <c r="G55" i="13"/>
  <c r="E55" i="13"/>
  <c r="D55" i="13"/>
  <c r="C55" i="13"/>
  <c r="B55" i="13"/>
  <c r="A55" i="13"/>
  <c r="AA54" i="13"/>
  <c r="Z54" i="13"/>
  <c r="Y54" i="13"/>
  <c r="X54" i="13"/>
  <c r="W54" i="13"/>
  <c r="V54" i="13"/>
  <c r="U54" i="13"/>
  <c r="T54" i="13"/>
  <c r="S54" i="13"/>
  <c r="R54" i="13"/>
  <c r="Q54" i="13"/>
  <c r="P54" i="13"/>
  <c r="O54" i="13"/>
  <c r="N54" i="13"/>
  <c r="L54" i="13"/>
  <c r="K54" i="13"/>
  <c r="J54" i="13"/>
  <c r="I54" i="13"/>
  <c r="H54" i="13"/>
  <c r="G54" i="13"/>
  <c r="E54" i="13"/>
  <c r="D54" i="13"/>
  <c r="C54" i="13"/>
  <c r="B54" i="13"/>
  <c r="A54" i="13"/>
  <c r="AA53" i="13"/>
  <c r="Z53" i="13"/>
  <c r="Y53" i="13"/>
  <c r="X53" i="13"/>
  <c r="W53" i="13"/>
  <c r="V53" i="13"/>
  <c r="U53" i="13"/>
  <c r="T53" i="13"/>
  <c r="S53" i="13"/>
  <c r="R53" i="13"/>
  <c r="Q53" i="13"/>
  <c r="P53" i="13"/>
  <c r="O53" i="13"/>
  <c r="N53" i="13"/>
  <c r="L53" i="13"/>
  <c r="K53" i="13"/>
  <c r="J53" i="13"/>
  <c r="I53" i="13"/>
  <c r="H53" i="13"/>
  <c r="G53" i="13"/>
  <c r="E53" i="13"/>
  <c r="D53" i="13"/>
  <c r="C53" i="13"/>
  <c r="B53" i="13"/>
  <c r="A53" i="13"/>
  <c r="AA52" i="13"/>
  <c r="Z52" i="13"/>
  <c r="Y52" i="13"/>
  <c r="X52" i="13"/>
  <c r="W52" i="13"/>
  <c r="V52" i="13"/>
  <c r="U52" i="13"/>
  <c r="T52" i="13"/>
  <c r="S52" i="13"/>
  <c r="R52" i="13"/>
  <c r="Q52" i="13"/>
  <c r="P52" i="13"/>
  <c r="O52" i="13"/>
  <c r="N52" i="13"/>
  <c r="L52" i="13"/>
  <c r="K52" i="13"/>
  <c r="J52" i="13"/>
  <c r="I52" i="13"/>
  <c r="H52" i="13"/>
  <c r="G52" i="13"/>
  <c r="E52" i="13"/>
  <c r="D52" i="13"/>
  <c r="C52" i="13"/>
  <c r="B52" i="13"/>
  <c r="A52" i="13"/>
  <c r="AA51" i="13"/>
  <c r="Z51" i="13"/>
  <c r="Y51" i="13"/>
  <c r="X51" i="13"/>
  <c r="W51" i="13"/>
  <c r="V51" i="13"/>
  <c r="U51" i="13"/>
  <c r="T51" i="13"/>
  <c r="S51" i="13"/>
  <c r="R51" i="13"/>
  <c r="Q51" i="13"/>
  <c r="P51" i="13"/>
  <c r="O51" i="13"/>
  <c r="N51" i="13"/>
  <c r="L51" i="13"/>
  <c r="K51" i="13"/>
  <c r="J51" i="13"/>
  <c r="I51" i="13"/>
  <c r="H51" i="13"/>
  <c r="G51" i="13"/>
  <c r="E51" i="13"/>
  <c r="D51" i="13"/>
  <c r="C51" i="13"/>
  <c r="B51" i="13"/>
  <c r="A51" i="13"/>
  <c r="AA50" i="13"/>
  <c r="Z50" i="13"/>
  <c r="Y50" i="13"/>
  <c r="X50" i="13"/>
  <c r="W50" i="13"/>
  <c r="V50" i="13"/>
  <c r="U50" i="13"/>
  <c r="T50" i="13"/>
  <c r="S50" i="13"/>
  <c r="R50" i="13"/>
  <c r="Q50" i="13"/>
  <c r="P50" i="13"/>
  <c r="O50" i="13"/>
  <c r="N50" i="13"/>
  <c r="L50" i="13"/>
  <c r="K50" i="13"/>
  <c r="J50" i="13"/>
  <c r="I50" i="13"/>
  <c r="H50" i="13"/>
  <c r="G50" i="13"/>
  <c r="E50" i="13"/>
  <c r="D50" i="13"/>
  <c r="C50" i="13"/>
  <c r="B50" i="13"/>
  <c r="A50" i="13"/>
  <c r="AA49" i="13"/>
  <c r="Z49" i="13"/>
  <c r="Y49" i="13"/>
  <c r="X49" i="13"/>
  <c r="W49" i="13"/>
  <c r="V49" i="13"/>
  <c r="U49" i="13"/>
  <c r="T49" i="13"/>
  <c r="S49" i="13"/>
  <c r="R49" i="13"/>
  <c r="Q49" i="13"/>
  <c r="P49" i="13"/>
  <c r="O49" i="13"/>
  <c r="N49" i="13"/>
  <c r="L49" i="13"/>
  <c r="K49" i="13"/>
  <c r="J49" i="13"/>
  <c r="I49" i="13"/>
  <c r="H49" i="13"/>
  <c r="G49" i="13"/>
  <c r="E49" i="13"/>
  <c r="D49" i="13"/>
  <c r="C49" i="13"/>
  <c r="B49" i="13"/>
  <c r="A49" i="13"/>
  <c r="AA48" i="13"/>
  <c r="Z48" i="13"/>
  <c r="Y48" i="13"/>
  <c r="X48" i="13"/>
  <c r="W48" i="13"/>
  <c r="V48" i="13"/>
  <c r="U48" i="13"/>
  <c r="T48" i="13"/>
  <c r="S48" i="13"/>
  <c r="R48" i="13"/>
  <c r="Q48" i="13"/>
  <c r="P48" i="13"/>
  <c r="O48" i="13"/>
  <c r="N48" i="13"/>
  <c r="L48" i="13"/>
  <c r="K48" i="13"/>
  <c r="J48" i="13"/>
  <c r="I48" i="13"/>
  <c r="H48" i="13"/>
  <c r="G48" i="13"/>
  <c r="E48" i="13"/>
  <c r="D48" i="13"/>
  <c r="C48" i="13"/>
  <c r="B48" i="13"/>
  <c r="A48" i="13"/>
  <c r="AA47" i="13"/>
  <c r="Z47" i="13"/>
  <c r="Y47" i="13"/>
  <c r="X47" i="13"/>
  <c r="W47" i="13"/>
  <c r="V47" i="13"/>
  <c r="U47" i="13"/>
  <c r="T47" i="13"/>
  <c r="S47" i="13"/>
  <c r="R47" i="13"/>
  <c r="Q47" i="13"/>
  <c r="P47" i="13"/>
  <c r="O47" i="13"/>
  <c r="N47" i="13"/>
  <c r="L47" i="13"/>
  <c r="K47" i="13"/>
  <c r="J47" i="13"/>
  <c r="I47" i="13"/>
  <c r="H47" i="13"/>
  <c r="G47" i="13"/>
  <c r="E47" i="13"/>
  <c r="D47" i="13"/>
  <c r="C47" i="13"/>
  <c r="B47" i="13"/>
  <c r="A47" i="13"/>
  <c r="AA46" i="13"/>
  <c r="Z46" i="13"/>
  <c r="Y46" i="13"/>
  <c r="X46" i="13"/>
  <c r="W46" i="13"/>
  <c r="V46" i="13"/>
  <c r="U46" i="13"/>
  <c r="T46" i="13"/>
  <c r="S46" i="13"/>
  <c r="R46" i="13"/>
  <c r="Q46" i="13"/>
  <c r="P46" i="13"/>
  <c r="O46" i="13"/>
  <c r="N46" i="13"/>
  <c r="L46" i="13"/>
  <c r="K46" i="13"/>
  <c r="J46" i="13"/>
  <c r="I46" i="13"/>
  <c r="H46" i="13"/>
  <c r="G46" i="13"/>
  <c r="E46" i="13"/>
  <c r="D46" i="13"/>
  <c r="C46" i="13"/>
  <c r="B46" i="13"/>
  <c r="A46" i="13"/>
  <c r="AA45" i="13"/>
  <c r="Z45" i="13"/>
  <c r="Y45" i="13"/>
  <c r="X45" i="13"/>
  <c r="W45" i="13"/>
  <c r="V45" i="13"/>
  <c r="U45" i="13"/>
  <c r="T45" i="13"/>
  <c r="S45" i="13"/>
  <c r="R45" i="13"/>
  <c r="Q45" i="13"/>
  <c r="P45" i="13"/>
  <c r="O45" i="13"/>
  <c r="N45" i="13"/>
  <c r="L45" i="13"/>
  <c r="K45" i="13"/>
  <c r="J45" i="13"/>
  <c r="I45" i="13"/>
  <c r="H45" i="13"/>
  <c r="G45" i="13"/>
  <c r="E45" i="13"/>
  <c r="D45" i="13"/>
  <c r="C45" i="13"/>
  <c r="B45" i="13"/>
  <c r="A45" i="13"/>
  <c r="AA44" i="13"/>
  <c r="Z44" i="13"/>
  <c r="Y44" i="13"/>
  <c r="X44" i="13"/>
  <c r="W44" i="13"/>
  <c r="V44" i="13"/>
  <c r="U44" i="13"/>
  <c r="T44" i="13"/>
  <c r="S44" i="13"/>
  <c r="R44" i="13"/>
  <c r="Q44" i="13"/>
  <c r="P44" i="13"/>
  <c r="O44" i="13"/>
  <c r="N44" i="13"/>
  <c r="L44" i="13"/>
  <c r="K44" i="13"/>
  <c r="J44" i="13"/>
  <c r="I44" i="13"/>
  <c r="H44" i="13"/>
  <c r="G44" i="13"/>
  <c r="E44" i="13"/>
  <c r="D44" i="13"/>
  <c r="C44" i="13"/>
  <c r="B44" i="13"/>
  <c r="A44" i="13"/>
  <c r="AA43" i="13"/>
  <c r="Z43" i="13"/>
  <c r="Y43" i="13"/>
  <c r="X43" i="13"/>
  <c r="W43" i="13"/>
  <c r="V43" i="13"/>
  <c r="U43" i="13"/>
  <c r="T43" i="13"/>
  <c r="S43" i="13"/>
  <c r="R43" i="13"/>
  <c r="Q43" i="13"/>
  <c r="P43" i="13"/>
  <c r="O43" i="13"/>
  <c r="N43" i="13"/>
  <c r="L43" i="13"/>
  <c r="K43" i="13"/>
  <c r="J43" i="13"/>
  <c r="I43" i="13"/>
  <c r="H43" i="13"/>
  <c r="G43" i="13"/>
  <c r="E43" i="13"/>
  <c r="D43" i="13"/>
  <c r="C43" i="13"/>
  <c r="B43" i="13"/>
  <c r="A43" i="13"/>
  <c r="AA42" i="13"/>
  <c r="Z42" i="13"/>
  <c r="Y42" i="13"/>
  <c r="X42" i="13"/>
  <c r="W42" i="13"/>
  <c r="V42" i="13"/>
  <c r="U42" i="13"/>
  <c r="T42" i="13"/>
  <c r="S42" i="13"/>
  <c r="R42" i="13"/>
  <c r="Q42" i="13"/>
  <c r="P42" i="13"/>
  <c r="O42" i="13"/>
  <c r="N42" i="13"/>
  <c r="L42" i="13"/>
  <c r="K42" i="13"/>
  <c r="J42" i="13"/>
  <c r="I42" i="13"/>
  <c r="H42" i="13"/>
  <c r="G42" i="13"/>
  <c r="E42" i="13"/>
  <c r="D42" i="13"/>
  <c r="C42" i="13"/>
  <c r="B42" i="13"/>
  <c r="A42" i="13"/>
  <c r="AA41" i="13"/>
  <c r="Z41" i="13"/>
  <c r="Y41" i="13"/>
  <c r="X41" i="13"/>
  <c r="W41" i="13"/>
  <c r="V41" i="13"/>
  <c r="U41" i="13"/>
  <c r="T41" i="13"/>
  <c r="S41" i="13"/>
  <c r="R41" i="13"/>
  <c r="Q41" i="13"/>
  <c r="P41" i="13"/>
  <c r="O41" i="13"/>
  <c r="N41" i="13"/>
  <c r="L41" i="13"/>
  <c r="K41" i="13"/>
  <c r="J41" i="13"/>
  <c r="I41" i="13"/>
  <c r="H41" i="13"/>
  <c r="G41" i="13"/>
  <c r="E41" i="13"/>
  <c r="D41" i="13"/>
  <c r="C41" i="13"/>
  <c r="B41" i="13"/>
  <c r="A41" i="13"/>
  <c r="AA40" i="13"/>
  <c r="Z40" i="13"/>
  <c r="Y40" i="13"/>
  <c r="X40" i="13"/>
  <c r="W40" i="13"/>
  <c r="V40" i="13"/>
  <c r="U40" i="13"/>
  <c r="T40" i="13"/>
  <c r="S40" i="13"/>
  <c r="R40" i="13"/>
  <c r="Q40" i="13"/>
  <c r="P40" i="13"/>
  <c r="O40" i="13"/>
  <c r="N40" i="13"/>
  <c r="L40" i="13"/>
  <c r="K40" i="13"/>
  <c r="J40" i="13"/>
  <c r="I40" i="13"/>
  <c r="H40" i="13"/>
  <c r="G40" i="13"/>
  <c r="E40" i="13"/>
  <c r="D40" i="13"/>
  <c r="C40" i="13"/>
  <c r="B40" i="13"/>
  <c r="A40" i="13"/>
  <c r="AA39" i="13"/>
  <c r="Z39" i="13"/>
  <c r="Y39" i="13"/>
  <c r="X39" i="13"/>
  <c r="W39" i="13"/>
  <c r="V39" i="13"/>
  <c r="U39" i="13"/>
  <c r="T39" i="13"/>
  <c r="S39" i="13"/>
  <c r="R39" i="13"/>
  <c r="Q39" i="13"/>
  <c r="P39" i="13"/>
  <c r="O39" i="13"/>
  <c r="N39" i="13"/>
  <c r="L39" i="13"/>
  <c r="K39" i="13"/>
  <c r="J39" i="13"/>
  <c r="I39" i="13"/>
  <c r="H39" i="13"/>
  <c r="G39" i="13"/>
  <c r="E39" i="13"/>
  <c r="D39" i="13"/>
  <c r="C39" i="13"/>
  <c r="B39" i="13"/>
  <c r="A39" i="13"/>
  <c r="AA38" i="13"/>
  <c r="Z38" i="13"/>
  <c r="Y38" i="13"/>
  <c r="X38" i="13"/>
  <c r="W38" i="13"/>
  <c r="V38" i="13"/>
  <c r="U38" i="13"/>
  <c r="T38" i="13"/>
  <c r="S38" i="13"/>
  <c r="R38" i="13"/>
  <c r="Q38" i="13"/>
  <c r="P38" i="13"/>
  <c r="O38" i="13"/>
  <c r="N38" i="13"/>
  <c r="L38" i="13"/>
  <c r="K38" i="13"/>
  <c r="J38" i="13"/>
  <c r="I38" i="13"/>
  <c r="H38" i="13"/>
  <c r="G38" i="13"/>
  <c r="E38" i="13"/>
  <c r="D38" i="13"/>
  <c r="C38" i="13"/>
  <c r="B38" i="13"/>
  <c r="A38" i="13"/>
  <c r="AA37" i="13"/>
  <c r="Z37" i="13"/>
  <c r="Y37" i="13"/>
  <c r="X37" i="13"/>
  <c r="W37" i="13"/>
  <c r="V37" i="13"/>
  <c r="U37" i="13"/>
  <c r="T37" i="13"/>
  <c r="S37" i="13"/>
  <c r="R37" i="13"/>
  <c r="Q37" i="13"/>
  <c r="P37" i="13"/>
  <c r="O37" i="13"/>
  <c r="N37" i="13"/>
  <c r="L37" i="13"/>
  <c r="K37" i="13"/>
  <c r="J37" i="13"/>
  <c r="I37" i="13"/>
  <c r="H37" i="13"/>
  <c r="G37" i="13"/>
  <c r="E37" i="13"/>
  <c r="D37" i="13"/>
  <c r="C37" i="13"/>
  <c r="B37" i="13"/>
  <c r="A37" i="13"/>
  <c r="AA36" i="13"/>
  <c r="Z36" i="13"/>
  <c r="Y36" i="13"/>
  <c r="X36" i="13"/>
  <c r="W36" i="13"/>
  <c r="V36" i="13"/>
  <c r="U36" i="13"/>
  <c r="T36" i="13"/>
  <c r="S36" i="13"/>
  <c r="R36" i="13"/>
  <c r="Q36" i="13"/>
  <c r="P36" i="13"/>
  <c r="O36" i="13"/>
  <c r="N36" i="13"/>
  <c r="L36" i="13"/>
  <c r="K36" i="13"/>
  <c r="J36" i="13"/>
  <c r="I36" i="13"/>
  <c r="H36" i="13"/>
  <c r="G36" i="13"/>
  <c r="E36" i="13"/>
  <c r="D36" i="13"/>
  <c r="C36" i="13"/>
  <c r="B36" i="13"/>
  <c r="A36" i="13"/>
  <c r="AA35" i="13"/>
  <c r="Z35" i="13"/>
  <c r="Y35" i="13"/>
  <c r="X35" i="13"/>
  <c r="W35" i="13"/>
  <c r="V35" i="13"/>
  <c r="U35" i="13"/>
  <c r="T35" i="13"/>
  <c r="S35" i="13"/>
  <c r="R35" i="13"/>
  <c r="Q35" i="13"/>
  <c r="P35" i="13"/>
  <c r="O35" i="13"/>
  <c r="N35" i="13"/>
  <c r="L35" i="13"/>
  <c r="K35" i="13"/>
  <c r="J35" i="13"/>
  <c r="I35" i="13"/>
  <c r="H35" i="13"/>
  <c r="G35" i="13"/>
  <c r="E35" i="13"/>
  <c r="D35" i="13"/>
  <c r="C35" i="13"/>
  <c r="B35" i="13"/>
  <c r="A35" i="13"/>
  <c r="AA34" i="13"/>
  <c r="Z34" i="13"/>
  <c r="Y34" i="13"/>
  <c r="X34" i="13"/>
  <c r="W34" i="13"/>
  <c r="V34" i="13"/>
  <c r="U34" i="13"/>
  <c r="T34" i="13"/>
  <c r="S34" i="13"/>
  <c r="R34" i="13"/>
  <c r="Q34" i="13"/>
  <c r="P34" i="13"/>
  <c r="O34" i="13"/>
  <c r="L34" i="13"/>
  <c r="K34" i="13"/>
  <c r="J34" i="13"/>
  <c r="I34" i="13"/>
  <c r="H34" i="13"/>
  <c r="E34" i="13"/>
  <c r="D34" i="13"/>
  <c r="C34" i="13"/>
  <c r="B34" i="13"/>
  <c r="AA30" i="13"/>
  <c r="Z30" i="13"/>
  <c r="Y30" i="13"/>
  <c r="X30" i="13"/>
  <c r="W30" i="13"/>
  <c r="V30" i="13"/>
  <c r="U30" i="13"/>
  <c r="T30" i="13"/>
  <c r="S30" i="13"/>
  <c r="R30" i="13"/>
  <c r="Q30" i="13"/>
  <c r="P30" i="13"/>
  <c r="O30" i="13"/>
  <c r="N30" i="13"/>
  <c r="L30" i="13"/>
  <c r="K30" i="13"/>
  <c r="J30" i="13"/>
  <c r="I30" i="13"/>
  <c r="H30" i="13"/>
  <c r="G30" i="13"/>
  <c r="E30" i="13"/>
  <c r="D30" i="13"/>
  <c r="C30" i="13"/>
  <c r="B30" i="13"/>
  <c r="A30" i="13"/>
  <c r="AA29" i="13"/>
  <c r="Z29" i="13"/>
  <c r="Y29" i="13"/>
  <c r="X29" i="13"/>
  <c r="W29" i="13"/>
  <c r="V29" i="13"/>
  <c r="U29" i="13"/>
  <c r="T29" i="13"/>
  <c r="S29" i="13"/>
  <c r="R29" i="13"/>
  <c r="Q29" i="13"/>
  <c r="P29" i="13"/>
  <c r="O29" i="13"/>
  <c r="N29" i="13"/>
  <c r="L29" i="13"/>
  <c r="K29" i="13"/>
  <c r="J29" i="13"/>
  <c r="I29" i="13"/>
  <c r="H29" i="13"/>
  <c r="G29" i="13"/>
  <c r="E29" i="13"/>
  <c r="D29" i="13"/>
  <c r="C29" i="13"/>
  <c r="B29" i="13"/>
  <c r="A29" i="13"/>
  <c r="AA28" i="13"/>
  <c r="Z28" i="13"/>
  <c r="Y28" i="13"/>
  <c r="X28" i="13"/>
  <c r="W28" i="13"/>
  <c r="V28" i="13"/>
  <c r="U28" i="13"/>
  <c r="T28" i="13"/>
  <c r="S28" i="13"/>
  <c r="R28" i="13"/>
  <c r="Q28" i="13"/>
  <c r="P28" i="13"/>
  <c r="O28" i="13"/>
  <c r="N28" i="13"/>
  <c r="L28" i="13"/>
  <c r="K28" i="13"/>
  <c r="J28" i="13"/>
  <c r="I28" i="13"/>
  <c r="H28" i="13"/>
  <c r="G28" i="13"/>
  <c r="E28" i="13"/>
  <c r="D28" i="13"/>
  <c r="C28" i="13"/>
  <c r="B28" i="13"/>
  <c r="A28" i="13"/>
  <c r="AA27" i="13"/>
  <c r="Z27" i="13"/>
  <c r="Y27" i="13"/>
  <c r="X27" i="13"/>
  <c r="W27" i="13"/>
  <c r="V27" i="13"/>
  <c r="U27" i="13"/>
  <c r="T27" i="13"/>
  <c r="S27" i="13"/>
  <c r="R27" i="13"/>
  <c r="Q27" i="13"/>
  <c r="P27" i="13"/>
  <c r="O27" i="13"/>
  <c r="N27" i="13"/>
  <c r="L27" i="13"/>
  <c r="K27" i="13"/>
  <c r="J27" i="13"/>
  <c r="I27" i="13"/>
  <c r="H27" i="13"/>
  <c r="G27" i="13"/>
  <c r="E27" i="13"/>
  <c r="D27" i="13"/>
  <c r="C27" i="13"/>
  <c r="B27" i="13"/>
  <c r="A27" i="13"/>
  <c r="AA26" i="13"/>
  <c r="Z26" i="13"/>
  <c r="Y26" i="13"/>
  <c r="X26" i="13"/>
  <c r="W26" i="13"/>
  <c r="V26" i="13"/>
  <c r="U26" i="13"/>
  <c r="T26" i="13"/>
  <c r="S26" i="13"/>
  <c r="R26" i="13"/>
  <c r="Q26" i="13"/>
  <c r="P26" i="13"/>
  <c r="O26" i="13"/>
  <c r="N26" i="13"/>
  <c r="L26" i="13"/>
  <c r="K26" i="13"/>
  <c r="J26" i="13"/>
  <c r="I26" i="13"/>
  <c r="H26" i="13"/>
  <c r="G26" i="13"/>
  <c r="E26" i="13"/>
  <c r="D26" i="13"/>
  <c r="C26" i="13"/>
  <c r="B26" i="13"/>
  <c r="A26" i="13"/>
  <c r="AA25" i="13"/>
  <c r="Z25" i="13"/>
  <c r="Y25" i="13"/>
  <c r="X25" i="13"/>
  <c r="W25" i="13"/>
  <c r="V25" i="13"/>
  <c r="U25" i="13"/>
  <c r="T25" i="13"/>
  <c r="S25" i="13"/>
  <c r="R25" i="13"/>
  <c r="Q25" i="13"/>
  <c r="P25" i="13"/>
  <c r="O25" i="13"/>
  <c r="N25" i="13"/>
  <c r="L25" i="13"/>
  <c r="K25" i="13"/>
  <c r="J25" i="13"/>
  <c r="I25" i="13"/>
  <c r="H25" i="13"/>
  <c r="G25" i="13"/>
  <c r="E25" i="13"/>
  <c r="D25" i="13"/>
  <c r="C25" i="13"/>
  <c r="B25" i="13"/>
  <c r="A25" i="13"/>
  <c r="AA24" i="13"/>
  <c r="Z24" i="13"/>
  <c r="Y24" i="13"/>
  <c r="X24" i="13"/>
  <c r="W24" i="13"/>
  <c r="V24" i="13"/>
  <c r="U24" i="13"/>
  <c r="T24" i="13"/>
  <c r="S24" i="13"/>
  <c r="R24" i="13"/>
  <c r="Q24" i="13"/>
  <c r="P24" i="13"/>
  <c r="O24" i="13"/>
  <c r="N24" i="13"/>
  <c r="L24" i="13"/>
  <c r="K24" i="13"/>
  <c r="J24" i="13"/>
  <c r="I24" i="13"/>
  <c r="H24" i="13"/>
  <c r="G24" i="13"/>
  <c r="E24" i="13"/>
  <c r="D24" i="13"/>
  <c r="C24" i="13"/>
  <c r="B24" i="13"/>
  <c r="A24" i="13"/>
  <c r="AA23" i="13"/>
  <c r="Z23" i="13"/>
  <c r="Y23" i="13"/>
  <c r="X23" i="13"/>
  <c r="W23" i="13"/>
  <c r="V23" i="13"/>
  <c r="U23" i="13"/>
  <c r="T23" i="13"/>
  <c r="S23" i="13"/>
  <c r="R23" i="13"/>
  <c r="Q23" i="13"/>
  <c r="P23" i="13"/>
  <c r="O23" i="13"/>
  <c r="N23" i="13"/>
  <c r="L23" i="13"/>
  <c r="K23" i="13"/>
  <c r="J23" i="13"/>
  <c r="I23" i="13"/>
  <c r="H23" i="13"/>
  <c r="G23" i="13"/>
  <c r="E23" i="13"/>
  <c r="D23" i="13"/>
  <c r="C23" i="13"/>
  <c r="B23" i="13"/>
  <c r="A23" i="13"/>
  <c r="AA22" i="13"/>
  <c r="Z22" i="13"/>
  <c r="Y22" i="13"/>
  <c r="X22" i="13"/>
  <c r="W22" i="13"/>
  <c r="V22" i="13"/>
  <c r="U22" i="13"/>
  <c r="T22" i="13"/>
  <c r="S22" i="13"/>
  <c r="R22" i="13"/>
  <c r="Q22" i="13"/>
  <c r="P22" i="13"/>
  <c r="O22" i="13"/>
  <c r="N22" i="13"/>
  <c r="L22" i="13"/>
  <c r="K22" i="13"/>
  <c r="J22" i="13"/>
  <c r="I22" i="13"/>
  <c r="H22" i="13"/>
  <c r="G22" i="13"/>
  <c r="E22" i="13"/>
  <c r="D22" i="13"/>
  <c r="C22" i="13"/>
  <c r="B22" i="13"/>
  <c r="A22" i="13"/>
  <c r="AA21" i="13"/>
  <c r="Z21" i="13"/>
  <c r="Y21" i="13"/>
  <c r="X21" i="13"/>
  <c r="W21" i="13"/>
  <c r="V21" i="13"/>
  <c r="U21" i="13"/>
  <c r="T21" i="13"/>
  <c r="S21" i="13"/>
  <c r="R21" i="13"/>
  <c r="Q21" i="13"/>
  <c r="P21" i="13"/>
  <c r="O21" i="13"/>
  <c r="N21" i="13"/>
  <c r="L21" i="13"/>
  <c r="K21" i="13"/>
  <c r="J21" i="13"/>
  <c r="I21" i="13"/>
  <c r="H21" i="13"/>
  <c r="G21" i="13"/>
  <c r="E21" i="13"/>
  <c r="D21" i="13"/>
  <c r="C21" i="13"/>
  <c r="B21" i="13"/>
  <c r="A21" i="13"/>
  <c r="AA20" i="13"/>
  <c r="Z20" i="13"/>
  <c r="Y20" i="13"/>
  <c r="X20" i="13"/>
  <c r="W20" i="13"/>
  <c r="V20" i="13"/>
  <c r="U20" i="13"/>
  <c r="T20" i="13"/>
  <c r="S20" i="13"/>
  <c r="R20" i="13"/>
  <c r="Q20" i="13"/>
  <c r="P20" i="13"/>
  <c r="O20" i="13"/>
  <c r="N20" i="13"/>
  <c r="L20" i="13"/>
  <c r="K20" i="13"/>
  <c r="J20" i="13"/>
  <c r="I20" i="13"/>
  <c r="H20" i="13"/>
  <c r="G20" i="13"/>
  <c r="E20" i="13"/>
  <c r="D20" i="13"/>
  <c r="C20" i="13"/>
  <c r="B20" i="13"/>
  <c r="A20" i="13"/>
  <c r="AA19" i="13"/>
  <c r="Z19" i="13"/>
  <c r="Y19" i="13"/>
  <c r="X19" i="13"/>
  <c r="W19" i="13"/>
  <c r="V19" i="13"/>
  <c r="U19" i="13"/>
  <c r="T19" i="13"/>
  <c r="S19" i="13"/>
  <c r="R19" i="13"/>
  <c r="Q19" i="13"/>
  <c r="P19" i="13"/>
  <c r="O19" i="13"/>
  <c r="N19" i="13"/>
  <c r="L19" i="13"/>
  <c r="K19" i="13"/>
  <c r="J19" i="13"/>
  <c r="I19" i="13"/>
  <c r="H19" i="13"/>
  <c r="G19" i="13"/>
  <c r="E19" i="13"/>
  <c r="D19" i="13"/>
  <c r="C19" i="13"/>
  <c r="B19" i="13"/>
  <c r="A19" i="13"/>
  <c r="AA18" i="13"/>
  <c r="Z18" i="13"/>
  <c r="Y18" i="13"/>
  <c r="X18" i="13"/>
  <c r="W18" i="13"/>
  <c r="V18" i="13"/>
  <c r="U18" i="13"/>
  <c r="T18" i="13"/>
  <c r="S18" i="13"/>
  <c r="R18" i="13"/>
  <c r="Q18" i="13"/>
  <c r="P18" i="13"/>
  <c r="O18" i="13"/>
  <c r="N18" i="13"/>
  <c r="L18" i="13"/>
  <c r="K18" i="13"/>
  <c r="J18" i="13"/>
  <c r="I18" i="13"/>
  <c r="H18" i="13"/>
  <c r="G18" i="13"/>
  <c r="E18" i="13"/>
  <c r="D18" i="13"/>
  <c r="C18" i="13"/>
  <c r="B18" i="13"/>
  <c r="A18" i="13"/>
  <c r="AA17" i="13"/>
  <c r="Z17" i="13"/>
  <c r="Y17" i="13"/>
  <c r="X17" i="13"/>
  <c r="W17" i="13"/>
  <c r="V17" i="13"/>
  <c r="U17" i="13"/>
  <c r="T17" i="13"/>
  <c r="S17" i="13"/>
  <c r="R17" i="13"/>
  <c r="Q17" i="13"/>
  <c r="P17" i="13"/>
  <c r="O17" i="13"/>
  <c r="N17" i="13"/>
  <c r="L17" i="13"/>
  <c r="K17" i="13"/>
  <c r="J17" i="13"/>
  <c r="I17" i="13"/>
  <c r="H17" i="13"/>
  <c r="G17" i="13"/>
  <c r="E17" i="13"/>
  <c r="D17" i="13"/>
  <c r="C17" i="13"/>
  <c r="B17" i="13"/>
  <c r="A17" i="13"/>
  <c r="AA16" i="13"/>
  <c r="Z16" i="13"/>
  <c r="Y16" i="13"/>
  <c r="X16" i="13"/>
  <c r="W16" i="13"/>
  <c r="V16" i="13"/>
  <c r="U16" i="13"/>
  <c r="T16" i="13"/>
  <c r="S16" i="13"/>
  <c r="R16" i="13"/>
  <c r="Q16" i="13"/>
  <c r="P16" i="13"/>
  <c r="O16" i="13"/>
  <c r="N16" i="13"/>
  <c r="L16" i="13"/>
  <c r="K16" i="13"/>
  <c r="J16" i="13"/>
  <c r="I16" i="13"/>
  <c r="H16" i="13"/>
  <c r="G16" i="13"/>
  <c r="E16" i="13"/>
  <c r="D16" i="13"/>
  <c r="C16" i="13"/>
  <c r="B16" i="13"/>
  <c r="A16" i="13"/>
  <c r="AA15" i="13"/>
  <c r="Z15" i="13"/>
  <c r="Y15" i="13"/>
  <c r="X15" i="13"/>
  <c r="W15" i="13"/>
  <c r="V15" i="13"/>
  <c r="U15" i="13"/>
  <c r="T15" i="13"/>
  <c r="S15" i="13"/>
  <c r="R15" i="13"/>
  <c r="Q15" i="13"/>
  <c r="P15" i="13"/>
  <c r="O15" i="13"/>
  <c r="N15" i="13"/>
  <c r="L15" i="13"/>
  <c r="K15" i="13"/>
  <c r="J15" i="13"/>
  <c r="I15" i="13"/>
  <c r="H15" i="13"/>
  <c r="G15" i="13"/>
  <c r="E15" i="13"/>
  <c r="D15" i="13"/>
  <c r="C15" i="13"/>
  <c r="B15" i="13"/>
  <c r="A15" i="13"/>
  <c r="AA14" i="13"/>
  <c r="Z14" i="13"/>
  <c r="Y14" i="13"/>
  <c r="X14" i="13"/>
  <c r="W14" i="13"/>
  <c r="V14" i="13"/>
  <c r="U14" i="13"/>
  <c r="T14" i="13"/>
  <c r="S14" i="13"/>
  <c r="R14" i="13"/>
  <c r="Q14" i="13"/>
  <c r="P14" i="13"/>
  <c r="O14" i="13"/>
  <c r="N14" i="13"/>
  <c r="L14" i="13"/>
  <c r="K14" i="13"/>
  <c r="J14" i="13"/>
  <c r="I14" i="13"/>
  <c r="H14" i="13"/>
  <c r="G14" i="13"/>
  <c r="E14" i="13"/>
  <c r="D14" i="13"/>
  <c r="C14" i="13"/>
  <c r="B14" i="13"/>
  <c r="A14" i="13"/>
  <c r="AA13" i="13"/>
  <c r="Z13" i="13"/>
  <c r="Y13" i="13"/>
  <c r="X13" i="13"/>
  <c r="W13" i="13"/>
  <c r="V13" i="13"/>
  <c r="U13" i="13"/>
  <c r="T13" i="13"/>
  <c r="S13" i="13"/>
  <c r="R13" i="13"/>
  <c r="Q13" i="13"/>
  <c r="P13" i="13"/>
  <c r="O13" i="13"/>
  <c r="N13" i="13"/>
  <c r="L13" i="13"/>
  <c r="K13" i="13"/>
  <c r="J13" i="13"/>
  <c r="I13" i="13"/>
  <c r="H13" i="13"/>
  <c r="G13" i="13"/>
  <c r="E13" i="13"/>
  <c r="D13" i="13"/>
  <c r="C13" i="13"/>
  <c r="B13" i="13"/>
  <c r="A13" i="13"/>
  <c r="AA12" i="13"/>
  <c r="Z12" i="13"/>
  <c r="Y12" i="13"/>
  <c r="X12" i="13"/>
  <c r="W12" i="13"/>
  <c r="V12" i="13"/>
  <c r="U12" i="13"/>
  <c r="T12" i="13"/>
  <c r="S12" i="13"/>
  <c r="R12" i="13"/>
  <c r="Q12" i="13"/>
  <c r="P12" i="13"/>
  <c r="O12" i="13"/>
  <c r="N12" i="13"/>
  <c r="L12" i="13"/>
  <c r="K12" i="13"/>
  <c r="J12" i="13"/>
  <c r="I12" i="13"/>
  <c r="H12" i="13"/>
  <c r="G12" i="13"/>
  <c r="E12" i="13"/>
  <c r="D12" i="13"/>
  <c r="C12" i="13"/>
  <c r="B12" i="13"/>
  <c r="A12" i="13"/>
  <c r="AA11" i="13"/>
  <c r="Z11" i="13"/>
  <c r="Y11" i="13"/>
  <c r="X11" i="13"/>
  <c r="W11" i="13"/>
  <c r="V11" i="13"/>
  <c r="U11" i="13"/>
  <c r="T11" i="13"/>
  <c r="S11" i="13"/>
  <c r="R11" i="13"/>
  <c r="Q11" i="13"/>
  <c r="P11" i="13"/>
  <c r="O11" i="13"/>
  <c r="N11" i="13"/>
  <c r="L11" i="13"/>
  <c r="K11" i="13"/>
  <c r="J11" i="13"/>
  <c r="I11" i="13"/>
  <c r="H11" i="13"/>
  <c r="G11" i="13"/>
  <c r="E11" i="13"/>
  <c r="D11" i="13"/>
  <c r="C11" i="13"/>
  <c r="B11" i="13"/>
  <c r="A11" i="13"/>
  <c r="AA10" i="13"/>
  <c r="Z10" i="13"/>
  <c r="Y10" i="13"/>
  <c r="X10" i="13"/>
  <c r="W10" i="13"/>
  <c r="V10" i="13"/>
  <c r="U10" i="13"/>
  <c r="T10" i="13"/>
  <c r="S10" i="13"/>
  <c r="R10" i="13"/>
  <c r="Q10" i="13"/>
  <c r="P10" i="13"/>
  <c r="O10" i="13"/>
  <c r="N10" i="13"/>
  <c r="L10" i="13"/>
  <c r="K10" i="13"/>
  <c r="J10" i="13"/>
  <c r="I10" i="13"/>
  <c r="H10" i="13"/>
  <c r="G10" i="13"/>
  <c r="E10" i="13"/>
  <c r="D10" i="13"/>
  <c r="C10" i="13"/>
  <c r="B10" i="13"/>
  <c r="A10" i="13"/>
  <c r="AA9" i="13"/>
  <c r="Z9" i="13"/>
  <c r="Y9" i="13"/>
  <c r="X9" i="13"/>
  <c r="W9" i="13"/>
  <c r="V9" i="13"/>
  <c r="U9" i="13"/>
  <c r="T9" i="13"/>
  <c r="S9" i="13"/>
  <c r="R9" i="13"/>
  <c r="Q9" i="13"/>
  <c r="P9" i="13"/>
  <c r="O9" i="13"/>
  <c r="N9" i="13"/>
  <c r="L9" i="13"/>
  <c r="K9" i="13"/>
  <c r="J9" i="13"/>
  <c r="I9" i="13"/>
  <c r="H9" i="13"/>
  <c r="G9" i="13"/>
  <c r="E9" i="13"/>
  <c r="D9" i="13"/>
  <c r="C9" i="13"/>
  <c r="B9" i="13"/>
  <c r="A9" i="13"/>
  <c r="AA8" i="13"/>
  <c r="Z8" i="13"/>
  <c r="Y8" i="13"/>
  <c r="X8" i="13"/>
  <c r="W8" i="13"/>
  <c r="V8" i="13"/>
  <c r="U8" i="13"/>
  <c r="T8" i="13"/>
  <c r="S8" i="13"/>
  <c r="R8" i="13"/>
  <c r="Q8" i="13"/>
  <c r="P8" i="13"/>
  <c r="O8" i="13"/>
  <c r="N8" i="13"/>
  <c r="L8" i="13"/>
  <c r="K8" i="13"/>
  <c r="J8" i="13"/>
  <c r="I8" i="13"/>
  <c r="H8" i="13"/>
  <c r="G8" i="13"/>
  <c r="E8" i="13"/>
  <c r="D8" i="13"/>
  <c r="C8" i="13"/>
  <c r="B8" i="13"/>
  <c r="A8" i="13"/>
  <c r="AA7" i="13"/>
  <c r="Z7" i="13"/>
  <c r="Y7" i="13"/>
  <c r="X7" i="13"/>
  <c r="W7" i="13"/>
  <c r="V7" i="13"/>
  <c r="U7" i="13"/>
  <c r="T7" i="13"/>
  <c r="S7" i="13"/>
  <c r="R7" i="13"/>
  <c r="Q7" i="13"/>
  <c r="P7" i="13"/>
  <c r="O7" i="13"/>
  <c r="N7" i="13"/>
  <c r="L7" i="13"/>
  <c r="K7" i="13"/>
  <c r="J7" i="13"/>
  <c r="I7" i="13"/>
  <c r="H7" i="13"/>
  <c r="G7" i="13"/>
  <c r="E7" i="13"/>
  <c r="D7" i="13"/>
  <c r="C7" i="13"/>
  <c r="B7" i="13"/>
  <c r="A7" i="13"/>
  <c r="AA6" i="13"/>
  <c r="Z6" i="13"/>
  <c r="Y6" i="13"/>
  <c r="X6" i="13"/>
  <c r="W6" i="13"/>
  <c r="V6" i="13"/>
  <c r="U6" i="13"/>
  <c r="T6" i="13"/>
  <c r="S6" i="13"/>
  <c r="R6" i="13"/>
  <c r="Q6" i="13"/>
  <c r="P6" i="13"/>
  <c r="O6" i="13"/>
  <c r="N6" i="13"/>
  <c r="L6" i="13"/>
  <c r="K6" i="13"/>
  <c r="J6" i="13"/>
  <c r="I6" i="13"/>
  <c r="H6" i="13"/>
  <c r="G6" i="13"/>
  <c r="E6" i="13"/>
  <c r="D6" i="13"/>
  <c r="C6" i="13"/>
  <c r="B6" i="13"/>
  <c r="A6" i="13"/>
  <c r="AA5" i="13"/>
  <c r="Z5" i="13"/>
  <c r="Y5" i="13"/>
  <c r="X5" i="13"/>
  <c r="W5" i="13"/>
  <c r="V5" i="13"/>
  <c r="U5" i="13"/>
  <c r="T5" i="13"/>
  <c r="S5" i="13"/>
  <c r="R5" i="13"/>
  <c r="Q5" i="13"/>
  <c r="P5" i="13"/>
  <c r="O5" i="13"/>
  <c r="N5" i="13"/>
  <c r="L5" i="13"/>
  <c r="K5" i="13"/>
  <c r="J5" i="13"/>
  <c r="I5" i="13"/>
  <c r="H5" i="13"/>
  <c r="G5" i="13"/>
  <c r="E5" i="13"/>
  <c r="D5" i="13"/>
  <c r="C5" i="13"/>
  <c r="B5" i="13"/>
  <c r="A5" i="13"/>
  <c r="AA4" i="13"/>
  <c r="Z4" i="13"/>
  <c r="Y4" i="13"/>
  <c r="X4" i="13"/>
  <c r="W4" i="13"/>
  <c r="V4" i="13"/>
  <c r="U4" i="13"/>
  <c r="T4" i="13"/>
  <c r="S4" i="13"/>
  <c r="R4" i="13"/>
  <c r="Q4" i="13"/>
  <c r="P4" i="13"/>
  <c r="O4" i="13"/>
  <c r="L4" i="13"/>
  <c r="K4" i="13"/>
  <c r="J4" i="13"/>
  <c r="I4" i="13"/>
  <c r="H4" i="13"/>
  <c r="E4" i="13"/>
  <c r="D4" i="13"/>
  <c r="C4" i="13"/>
  <c r="B4" i="13"/>
  <c r="F214" i="5"/>
  <c r="E214" i="5"/>
  <c r="C214" i="5"/>
  <c r="B214" i="5"/>
  <c r="F213" i="5"/>
  <c r="E213" i="5"/>
  <c r="C213" i="5"/>
  <c r="B213" i="5"/>
  <c r="F212" i="5"/>
  <c r="E212" i="5"/>
  <c r="C212" i="5"/>
  <c r="B212" i="5"/>
  <c r="F211" i="5"/>
  <c r="E211" i="5"/>
  <c r="C211" i="5"/>
  <c r="B211" i="5"/>
  <c r="F210" i="5"/>
  <c r="E210" i="5"/>
  <c r="C210" i="5"/>
  <c r="B210" i="5"/>
  <c r="F209" i="5"/>
  <c r="E209" i="5"/>
  <c r="C209" i="5"/>
  <c r="B209" i="5"/>
  <c r="F208" i="5"/>
  <c r="E208" i="5"/>
  <c r="C208" i="5"/>
  <c r="B208" i="5"/>
  <c r="F207" i="5"/>
  <c r="E207" i="5"/>
  <c r="C207" i="5"/>
  <c r="B207" i="5"/>
  <c r="F206" i="5"/>
  <c r="E206" i="5"/>
  <c r="C206" i="5"/>
  <c r="B206" i="5"/>
  <c r="F205" i="5"/>
  <c r="E205" i="5"/>
  <c r="C205" i="5"/>
  <c r="B205" i="5"/>
  <c r="F204" i="5"/>
  <c r="E204" i="5"/>
  <c r="C204" i="5"/>
  <c r="B204" i="5"/>
  <c r="F203" i="5"/>
  <c r="E203" i="5"/>
  <c r="C203" i="5"/>
  <c r="B203" i="5"/>
  <c r="F202" i="5"/>
  <c r="E202" i="5"/>
  <c r="C202" i="5"/>
  <c r="B202" i="5"/>
  <c r="F201" i="5"/>
  <c r="E201" i="5"/>
  <c r="C201" i="5"/>
  <c r="B201" i="5"/>
  <c r="F200" i="5"/>
  <c r="E200" i="5"/>
  <c r="C200" i="5"/>
  <c r="B200" i="5"/>
  <c r="F199" i="5"/>
  <c r="E199" i="5"/>
  <c r="C199" i="5"/>
  <c r="B199" i="5"/>
  <c r="F198" i="5"/>
  <c r="E198" i="5"/>
  <c r="C198" i="5"/>
  <c r="B198" i="5"/>
  <c r="F197" i="5"/>
  <c r="E197" i="5"/>
  <c r="C197" i="5"/>
  <c r="B197" i="5"/>
  <c r="F196" i="5"/>
  <c r="E196" i="5"/>
  <c r="C196" i="5"/>
  <c r="B196" i="5"/>
  <c r="F195" i="5"/>
  <c r="E195" i="5"/>
  <c r="C195" i="5"/>
  <c r="B195" i="5"/>
  <c r="F194" i="5"/>
  <c r="E194" i="5"/>
  <c r="C194" i="5"/>
  <c r="B194" i="5"/>
  <c r="F193" i="5"/>
  <c r="E193" i="5"/>
  <c r="C193" i="5"/>
  <c r="B193" i="5"/>
  <c r="F192" i="5"/>
  <c r="E192" i="5"/>
  <c r="C192" i="5"/>
  <c r="B192" i="5"/>
  <c r="F191" i="5"/>
  <c r="E191" i="5"/>
  <c r="C191" i="5"/>
  <c r="B191" i="5"/>
  <c r="F190" i="5"/>
  <c r="E190" i="5"/>
  <c r="C190" i="5"/>
  <c r="B190" i="5"/>
  <c r="F189" i="5"/>
  <c r="E189" i="5"/>
  <c r="C189" i="5"/>
  <c r="B189" i="5"/>
  <c r="F188" i="5"/>
  <c r="E188" i="5"/>
  <c r="C188" i="5"/>
  <c r="F187" i="5"/>
  <c r="E187" i="5"/>
  <c r="C187" i="5"/>
  <c r="E186" i="5"/>
  <c r="C186" i="5"/>
  <c r="E185" i="5"/>
  <c r="C185" i="5"/>
  <c r="E184" i="5"/>
  <c r="C184" i="5"/>
  <c r="E183" i="5"/>
  <c r="C183" i="5"/>
  <c r="E182" i="5"/>
  <c r="C182" i="5"/>
  <c r="E181" i="5"/>
  <c r="C181" i="5"/>
  <c r="E180" i="5"/>
  <c r="C180" i="5"/>
  <c r="E179" i="5"/>
  <c r="C179" i="5"/>
  <c r="E178" i="5"/>
  <c r="C178" i="5"/>
  <c r="E177" i="5"/>
  <c r="C177" i="5"/>
  <c r="E176" i="5"/>
  <c r="C176" i="5"/>
  <c r="E175" i="5"/>
  <c r="C175" i="5"/>
  <c r="E174" i="5"/>
  <c r="C174" i="5"/>
  <c r="E173" i="5"/>
  <c r="C173" i="5"/>
  <c r="E172" i="5"/>
  <c r="C172" i="5"/>
  <c r="E171" i="5"/>
  <c r="C171" i="5"/>
  <c r="E170" i="5"/>
  <c r="C170" i="5"/>
  <c r="E169" i="5"/>
  <c r="C169" i="5"/>
  <c r="E168" i="5"/>
  <c r="C168" i="5"/>
  <c r="E167" i="5"/>
  <c r="C167" i="5"/>
  <c r="E166" i="5"/>
  <c r="C166" i="5"/>
  <c r="E165" i="5"/>
  <c r="C165" i="5"/>
  <c r="E164" i="5"/>
  <c r="C164" i="5"/>
  <c r="F161" i="5"/>
  <c r="E161" i="5"/>
  <c r="C161" i="5"/>
  <c r="B161" i="5"/>
  <c r="F160" i="5"/>
  <c r="E160" i="5"/>
  <c r="C160" i="5"/>
  <c r="B160" i="5"/>
  <c r="F159" i="5"/>
  <c r="E159" i="5"/>
  <c r="C159" i="5"/>
  <c r="B159" i="5"/>
  <c r="F158" i="5"/>
  <c r="E158" i="5"/>
  <c r="C158" i="5"/>
  <c r="B158" i="5"/>
  <c r="F157" i="5"/>
  <c r="E157" i="5"/>
  <c r="C157" i="5"/>
  <c r="B157" i="5"/>
  <c r="F156" i="5"/>
  <c r="E156" i="5"/>
  <c r="C156" i="5"/>
  <c r="B156" i="5"/>
  <c r="F155" i="5"/>
  <c r="E155" i="5"/>
  <c r="C155" i="5"/>
  <c r="B155" i="5"/>
  <c r="F154" i="5"/>
  <c r="E154" i="5"/>
  <c r="C154" i="5"/>
  <c r="B154" i="5"/>
  <c r="F153" i="5"/>
  <c r="E153" i="5"/>
  <c r="C153" i="5"/>
  <c r="B153" i="5"/>
  <c r="F152" i="5"/>
  <c r="E152" i="5"/>
  <c r="C152" i="5"/>
  <c r="B152" i="5"/>
  <c r="F151" i="5"/>
  <c r="E151" i="5"/>
  <c r="C151" i="5"/>
  <c r="B151" i="5"/>
  <c r="F150" i="5"/>
  <c r="E150" i="5"/>
  <c r="C150" i="5"/>
  <c r="B150" i="5"/>
  <c r="F149" i="5"/>
  <c r="E149" i="5"/>
  <c r="C149" i="5"/>
  <c r="B149" i="5"/>
  <c r="F148" i="5"/>
  <c r="E148" i="5"/>
  <c r="C148" i="5"/>
  <c r="B148" i="5"/>
  <c r="F147" i="5"/>
  <c r="E147" i="5"/>
  <c r="C147" i="5"/>
  <c r="B147" i="5"/>
  <c r="F146" i="5"/>
  <c r="E146" i="5"/>
  <c r="C146" i="5"/>
  <c r="B146" i="5"/>
  <c r="F145" i="5"/>
  <c r="E145" i="5"/>
  <c r="C145" i="5"/>
  <c r="B145" i="5"/>
  <c r="F144" i="5"/>
  <c r="E144" i="5"/>
  <c r="C144" i="5"/>
  <c r="B144" i="5"/>
  <c r="F143" i="5"/>
  <c r="E143" i="5"/>
  <c r="C143" i="5"/>
  <c r="B143" i="5"/>
  <c r="F142" i="5"/>
  <c r="E142" i="5"/>
  <c r="C142" i="5"/>
  <c r="B142" i="5"/>
  <c r="F141" i="5"/>
  <c r="E141" i="5"/>
  <c r="C141" i="5"/>
  <c r="B141" i="5"/>
  <c r="F140" i="5"/>
  <c r="E140" i="5"/>
  <c r="C140" i="5"/>
  <c r="B140" i="5"/>
  <c r="F139" i="5"/>
  <c r="E139" i="5"/>
  <c r="C139" i="5"/>
  <c r="B139" i="5"/>
  <c r="F138" i="5"/>
  <c r="E138" i="5"/>
  <c r="C138" i="5"/>
  <c r="B138" i="5"/>
  <c r="F137" i="5"/>
  <c r="E137" i="5"/>
  <c r="C137" i="5"/>
  <c r="B137" i="5"/>
  <c r="F136" i="5"/>
  <c r="E136" i="5"/>
  <c r="C136" i="5"/>
  <c r="B136" i="5"/>
  <c r="F135" i="5"/>
  <c r="E135" i="5"/>
  <c r="C135" i="5"/>
  <c r="F134" i="5"/>
  <c r="E134" i="5"/>
  <c r="C134" i="5"/>
  <c r="E133" i="5"/>
  <c r="C133" i="5"/>
  <c r="E132" i="5"/>
  <c r="C132" i="5"/>
  <c r="E131" i="5"/>
  <c r="C131" i="5"/>
  <c r="E130" i="5"/>
  <c r="C130" i="5"/>
  <c r="E129" i="5"/>
  <c r="C129" i="5"/>
  <c r="E128" i="5"/>
  <c r="C128" i="5"/>
  <c r="E127" i="5"/>
  <c r="C127" i="5"/>
  <c r="E126" i="5"/>
  <c r="C126" i="5"/>
  <c r="E125" i="5"/>
  <c r="C125" i="5"/>
  <c r="E124" i="5"/>
  <c r="C124" i="5"/>
  <c r="E123" i="5"/>
  <c r="C123" i="5"/>
  <c r="E122" i="5"/>
  <c r="C122" i="5"/>
  <c r="E121" i="5"/>
  <c r="C121" i="5"/>
  <c r="E120" i="5"/>
  <c r="C120" i="5"/>
  <c r="E119" i="5"/>
  <c r="C119" i="5"/>
  <c r="E118" i="5"/>
  <c r="C118" i="5"/>
  <c r="E117" i="5"/>
  <c r="C117" i="5"/>
  <c r="E116" i="5"/>
  <c r="C116" i="5"/>
  <c r="E115" i="5"/>
  <c r="C115" i="5"/>
  <c r="E114" i="5"/>
  <c r="C114" i="5"/>
  <c r="E113" i="5"/>
  <c r="C113" i="5"/>
  <c r="E112" i="5"/>
  <c r="C112" i="5"/>
  <c r="E111" i="5"/>
  <c r="C111" i="5"/>
  <c r="F108" i="5"/>
  <c r="E108" i="5"/>
  <c r="C108" i="5"/>
  <c r="B108" i="5"/>
  <c r="F107" i="5"/>
  <c r="E107" i="5"/>
  <c r="C107" i="5"/>
  <c r="B107" i="5"/>
  <c r="F106" i="5"/>
  <c r="E106" i="5"/>
  <c r="C106" i="5"/>
  <c r="B106" i="5"/>
  <c r="F105" i="5"/>
  <c r="E105" i="5"/>
  <c r="C105" i="5"/>
  <c r="B105" i="5"/>
  <c r="F104" i="5"/>
  <c r="E104" i="5"/>
  <c r="C104" i="5"/>
  <c r="B104" i="5"/>
  <c r="F103" i="5"/>
  <c r="E103" i="5"/>
  <c r="C103" i="5"/>
  <c r="B103" i="5"/>
  <c r="F102" i="5"/>
  <c r="E102" i="5"/>
  <c r="C102" i="5"/>
  <c r="B102" i="5"/>
  <c r="F101" i="5"/>
  <c r="E101" i="5"/>
  <c r="C101" i="5"/>
  <c r="B101" i="5"/>
  <c r="F100" i="5"/>
  <c r="E100" i="5"/>
  <c r="C100" i="5"/>
  <c r="B100" i="5"/>
  <c r="F99" i="5"/>
  <c r="E99" i="5"/>
  <c r="C99" i="5"/>
  <c r="B99" i="5"/>
  <c r="F98" i="5"/>
  <c r="E98" i="5"/>
  <c r="C98" i="5"/>
  <c r="B98" i="5"/>
  <c r="F97" i="5"/>
  <c r="E97" i="5"/>
  <c r="C97" i="5"/>
  <c r="B97" i="5"/>
  <c r="F96" i="5"/>
  <c r="E96" i="5"/>
  <c r="C96" i="5"/>
  <c r="B96" i="5"/>
  <c r="F95" i="5"/>
  <c r="E95" i="5"/>
  <c r="C95" i="5"/>
  <c r="B95" i="5"/>
  <c r="F94" i="5"/>
  <c r="E94" i="5"/>
  <c r="C94" i="5"/>
  <c r="B94" i="5"/>
  <c r="F93" i="5"/>
  <c r="E93" i="5"/>
  <c r="C93" i="5"/>
  <c r="B93" i="5"/>
  <c r="F92" i="5"/>
  <c r="E92" i="5"/>
  <c r="C92" i="5"/>
  <c r="B92" i="5"/>
  <c r="F91" i="5"/>
  <c r="E91" i="5"/>
  <c r="C91" i="5"/>
  <c r="B91" i="5"/>
  <c r="F90" i="5"/>
  <c r="E90" i="5"/>
  <c r="C90" i="5"/>
  <c r="B90" i="5"/>
  <c r="F89" i="5"/>
  <c r="E89" i="5"/>
  <c r="C89" i="5"/>
  <c r="B89" i="5"/>
  <c r="F88" i="5"/>
  <c r="E88" i="5"/>
  <c r="C88" i="5"/>
  <c r="B88" i="5"/>
  <c r="F87" i="5"/>
  <c r="E87" i="5"/>
  <c r="C87" i="5"/>
  <c r="B87" i="5"/>
  <c r="F86" i="5"/>
  <c r="E86" i="5"/>
  <c r="C86" i="5"/>
  <c r="B86" i="5"/>
  <c r="F85" i="5"/>
  <c r="E85" i="5"/>
  <c r="C85" i="5"/>
  <c r="B85" i="5"/>
  <c r="F84" i="5"/>
  <c r="E84" i="5"/>
  <c r="C84" i="5"/>
  <c r="B84" i="5"/>
  <c r="F83" i="5"/>
  <c r="E83" i="5"/>
  <c r="C83" i="5"/>
  <c r="B83" i="5"/>
  <c r="F82" i="5"/>
  <c r="E82" i="5"/>
  <c r="C82" i="5"/>
  <c r="F81" i="5"/>
  <c r="E81" i="5"/>
  <c r="C81" i="5"/>
  <c r="E80" i="5"/>
  <c r="C80" i="5"/>
  <c r="E79" i="5"/>
  <c r="C79" i="5"/>
  <c r="E78" i="5"/>
  <c r="C78" i="5"/>
  <c r="E77" i="5"/>
  <c r="C77" i="5"/>
  <c r="E76" i="5"/>
  <c r="C76" i="5"/>
  <c r="E75" i="5"/>
  <c r="C75" i="5"/>
  <c r="E74" i="5"/>
  <c r="C74" i="5"/>
  <c r="E73" i="5"/>
  <c r="C73" i="5"/>
  <c r="E72" i="5"/>
  <c r="C72" i="5"/>
  <c r="E71" i="5"/>
  <c r="C71" i="5"/>
  <c r="E70" i="5"/>
  <c r="C70" i="5"/>
  <c r="E69" i="5"/>
  <c r="C69" i="5"/>
  <c r="E68" i="5"/>
  <c r="C68" i="5"/>
  <c r="E67" i="5"/>
  <c r="C67" i="5"/>
  <c r="E66" i="5"/>
  <c r="C66" i="5"/>
  <c r="E65" i="5"/>
  <c r="C65" i="5"/>
  <c r="E64" i="5"/>
  <c r="C64" i="5"/>
  <c r="E63" i="5"/>
  <c r="C63" i="5"/>
  <c r="E62" i="5"/>
  <c r="C62" i="5"/>
  <c r="E61" i="5"/>
  <c r="C61" i="5"/>
  <c r="E60" i="5"/>
  <c r="C60" i="5"/>
  <c r="E59" i="5"/>
  <c r="C59" i="5"/>
  <c r="E58" i="5"/>
  <c r="C58" i="5"/>
  <c r="P53" i="5"/>
  <c r="AB53" i="5" s="1"/>
  <c r="O53" i="5"/>
  <c r="AA53" i="5" s="1"/>
  <c r="N53" i="5"/>
  <c r="Z53" i="5" s="1"/>
  <c r="L53" i="5"/>
  <c r="X53" i="5" s="1"/>
  <c r="K53" i="5"/>
  <c r="W53" i="5" s="1"/>
  <c r="J53" i="5"/>
  <c r="V53" i="5" s="1"/>
  <c r="H53" i="5"/>
  <c r="T53" i="5" s="1"/>
  <c r="G53" i="5"/>
  <c r="S53" i="5" s="1"/>
  <c r="F53" i="5"/>
  <c r="R53" i="5" s="1"/>
  <c r="D53" i="5"/>
  <c r="C53" i="5"/>
  <c r="B53" i="5"/>
  <c r="D52" i="5"/>
  <c r="C52" i="5"/>
  <c r="B52" i="5"/>
  <c r="D51" i="5"/>
  <c r="C51" i="5"/>
  <c r="B51" i="5"/>
  <c r="D50" i="5"/>
  <c r="C50" i="5"/>
  <c r="B50" i="5"/>
  <c r="D49" i="5"/>
  <c r="C49" i="5"/>
  <c r="B49" i="5"/>
  <c r="D48" i="5"/>
  <c r="C48" i="5"/>
  <c r="B48" i="5"/>
  <c r="D47" i="5"/>
  <c r="C47" i="5"/>
  <c r="B47" i="5"/>
  <c r="D46" i="5"/>
  <c r="C46" i="5"/>
  <c r="B46" i="5"/>
  <c r="D45" i="5"/>
  <c r="C45" i="5"/>
  <c r="B45" i="5"/>
  <c r="L44" i="5"/>
  <c r="X44" i="5" s="1"/>
  <c r="K44" i="5"/>
  <c r="W44" i="5" s="1"/>
  <c r="J44" i="5"/>
  <c r="V44" i="5" s="1"/>
  <c r="D44" i="5"/>
  <c r="C44" i="5"/>
  <c r="B44" i="5"/>
  <c r="L43" i="5"/>
  <c r="X43" i="5" s="1"/>
  <c r="K43" i="5"/>
  <c r="W43" i="5" s="1"/>
  <c r="J43" i="5"/>
  <c r="V43" i="5" s="1"/>
  <c r="D43" i="5"/>
  <c r="C43" i="5"/>
  <c r="B43" i="5"/>
  <c r="D42" i="5"/>
  <c r="C42" i="5"/>
  <c r="B42" i="5"/>
  <c r="D41" i="5"/>
  <c r="C41" i="5"/>
  <c r="B41" i="5"/>
  <c r="D40" i="5"/>
  <c r="C40" i="5"/>
  <c r="B40" i="5"/>
  <c r="D39" i="5"/>
  <c r="C39" i="5"/>
  <c r="B39" i="5"/>
  <c r="D38" i="5"/>
  <c r="C38" i="5"/>
  <c r="B38" i="5"/>
  <c r="D37" i="5"/>
  <c r="C37" i="5"/>
  <c r="B37" i="5"/>
  <c r="D36" i="5"/>
  <c r="C36" i="5"/>
  <c r="B36" i="5"/>
  <c r="D35" i="5"/>
  <c r="C35" i="5"/>
  <c r="B35" i="5"/>
  <c r="H34" i="5"/>
  <c r="T34" i="5" s="1"/>
  <c r="G34" i="5"/>
  <c r="S34" i="5" s="1"/>
  <c r="F34" i="5"/>
  <c r="R34" i="5" s="1"/>
  <c r="D34" i="5"/>
  <c r="C34" i="5"/>
  <c r="B34" i="5"/>
  <c r="T33" i="5"/>
  <c r="S33" i="5"/>
  <c r="R33" i="5"/>
  <c r="H33" i="5"/>
  <c r="G33" i="5"/>
  <c r="F33" i="5"/>
  <c r="D33" i="5"/>
  <c r="C33" i="5"/>
  <c r="B33" i="5"/>
  <c r="T32" i="5"/>
  <c r="S32" i="5"/>
  <c r="R32" i="5"/>
  <c r="H32" i="5"/>
  <c r="G32" i="5"/>
  <c r="F32" i="5"/>
  <c r="D32" i="5"/>
  <c r="C32" i="5"/>
  <c r="B32" i="5"/>
  <c r="T31" i="5"/>
  <c r="S31" i="5"/>
  <c r="R31" i="5"/>
  <c r="H31" i="5"/>
  <c r="G31" i="5"/>
  <c r="F31" i="5"/>
  <c r="D31" i="5"/>
  <c r="C31" i="5"/>
  <c r="B31" i="5"/>
  <c r="T30" i="5"/>
  <c r="S30" i="5"/>
  <c r="R30" i="5"/>
  <c r="H30" i="5"/>
  <c r="G30" i="5"/>
  <c r="F30" i="5"/>
  <c r="D30" i="5"/>
  <c r="C30" i="5"/>
  <c r="B30" i="5"/>
  <c r="T29" i="5"/>
  <c r="S29" i="5"/>
  <c r="R29" i="5"/>
  <c r="H29" i="5"/>
  <c r="G29" i="5"/>
  <c r="F29" i="5"/>
  <c r="D29" i="5"/>
  <c r="C29" i="5"/>
  <c r="B29" i="5"/>
  <c r="T28" i="5"/>
  <c r="S28" i="5"/>
  <c r="R28" i="5"/>
  <c r="P28" i="5"/>
  <c r="AB28" i="5" s="1"/>
  <c r="N28" i="5"/>
  <c r="Z28" i="5" s="1"/>
  <c r="L28" i="5"/>
  <c r="X28" i="5" s="1"/>
  <c r="J28" i="5"/>
  <c r="V28" i="5" s="1"/>
  <c r="H28" i="5"/>
  <c r="G28" i="5"/>
  <c r="F28" i="5"/>
  <c r="D28" i="5"/>
  <c r="C28" i="5"/>
  <c r="B28" i="5"/>
  <c r="AB27" i="5"/>
  <c r="Z27" i="5"/>
  <c r="X27" i="5"/>
  <c r="V27" i="5"/>
  <c r="T27" i="5"/>
  <c r="S27" i="5"/>
  <c r="R27" i="5"/>
  <c r="P27" i="5"/>
  <c r="O27" i="5"/>
  <c r="AA27" i="5" s="1"/>
  <c r="N27" i="5"/>
  <c r="L27" i="5"/>
  <c r="K27" i="5"/>
  <c r="W27" i="5" s="1"/>
  <c r="J27" i="5"/>
  <c r="H27" i="5"/>
  <c r="G27" i="5"/>
  <c r="F27" i="5"/>
  <c r="D27" i="5"/>
  <c r="C27" i="5"/>
  <c r="B27" i="5"/>
  <c r="AB26" i="5"/>
  <c r="AA26" i="5"/>
  <c r="Z26" i="5"/>
  <c r="X26" i="5"/>
  <c r="W26" i="5"/>
  <c r="V26" i="5"/>
  <c r="T26" i="5"/>
  <c r="S26" i="5"/>
  <c r="R26" i="5"/>
  <c r="D26" i="5"/>
  <c r="C26" i="5"/>
  <c r="B26" i="5"/>
  <c r="AB25" i="5"/>
  <c r="AA25" i="5"/>
  <c r="Z25" i="5"/>
  <c r="X25" i="5"/>
  <c r="W25" i="5"/>
  <c r="V25" i="5"/>
  <c r="T25" i="5"/>
  <c r="S25" i="5"/>
  <c r="R25" i="5"/>
  <c r="D25" i="5"/>
  <c r="C25" i="5"/>
  <c r="B25" i="5"/>
  <c r="AB24" i="5"/>
  <c r="AA24" i="5"/>
  <c r="Z24" i="5"/>
  <c r="X24" i="5"/>
  <c r="W24" i="5"/>
  <c r="V24" i="5"/>
  <c r="T24" i="5"/>
  <c r="S24" i="5"/>
  <c r="R24" i="5"/>
  <c r="D24" i="5"/>
  <c r="C24" i="5"/>
  <c r="B24" i="5"/>
  <c r="AB23" i="5"/>
  <c r="AA23" i="5"/>
  <c r="Z23" i="5"/>
  <c r="X23" i="5"/>
  <c r="W23" i="5"/>
  <c r="V23" i="5"/>
  <c r="T23" i="5"/>
  <c r="S23" i="5"/>
  <c r="R23" i="5"/>
  <c r="D23" i="5"/>
  <c r="C23" i="5"/>
  <c r="B23" i="5"/>
  <c r="AB22" i="5"/>
  <c r="AA22" i="5"/>
  <c r="Z22" i="5"/>
  <c r="X22" i="5"/>
  <c r="W22" i="5"/>
  <c r="V22" i="5"/>
  <c r="T22" i="5"/>
  <c r="S22" i="5"/>
  <c r="R22" i="5"/>
  <c r="D22" i="5"/>
  <c r="C22" i="5"/>
  <c r="B22" i="5"/>
  <c r="AB21" i="5"/>
  <c r="AA21" i="5"/>
  <c r="Z21" i="5"/>
  <c r="X21" i="5"/>
  <c r="W21" i="5"/>
  <c r="V21" i="5"/>
  <c r="T21" i="5"/>
  <c r="S21" i="5"/>
  <c r="R21" i="5"/>
  <c r="D21" i="5"/>
  <c r="C21" i="5"/>
  <c r="B21" i="5"/>
  <c r="AB20" i="5"/>
  <c r="AA20" i="5"/>
  <c r="Z20" i="5"/>
  <c r="X20" i="5"/>
  <c r="W20" i="5"/>
  <c r="V20" i="5"/>
  <c r="T20" i="5"/>
  <c r="S20" i="5"/>
  <c r="R20" i="5"/>
  <c r="D20" i="5"/>
  <c r="C20" i="5"/>
  <c r="B20" i="5"/>
  <c r="AB19" i="5"/>
  <c r="AA19" i="5"/>
  <c r="Z19" i="5"/>
  <c r="X19" i="5"/>
  <c r="W19" i="5"/>
  <c r="V19" i="5"/>
  <c r="T19" i="5"/>
  <c r="S19" i="5"/>
  <c r="R19" i="5"/>
  <c r="D19" i="5"/>
  <c r="C19" i="5"/>
  <c r="B19" i="5"/>
  <c r="AB18" i="5"/>
  <c r="AA18" i="5"/>
  <c r="Z18" i="5"/>
  <c r="X18" i="5"/>
  <c r="W18" i="5"/>
  <c r="V18" i="5"/>
  <c r="T18" i="5"/>
  <c r="S18" i="5"/>
  <c r="R18" i="5"/>
  <c r="D18" i="5"/>
  <c r="C18" i="5"/>
  <c r="B18" i="5"/>
  <c r="AB17" i="5"/>
  <c r="AA17" i="5"/>
  <c r="Z17" i="5"/>
  <c r="X17" i="5"/>
  <c r="W17" i="5"/>
  <c r="V17" i="5"/>
  <c r="T17" i="5"/>
  <c r="S17" i="5"/>
  <c r="R17" i="5"/>
  <c r="D17" i="5"/>
  <c r="C17" i="5"/>
  <c r="B17" i="5"/>
  <c r="AB16" i="5"/>
  <c r="AA16" i="5"/>
  <c r="Z16" i="5"/>
  <c r="X16" i="5"/>
  <c r="W16" i="5"/>
  <c r="V16" i="5"/>
  <c r="T16" i="5"/>
  <c r="S16" i="5"/>
  <c r="R16" i="5"/>
  <c r="D16" i="5"/>
  <c r="C16" i="5"/>
  <c r="B16" i="5"/>
  <c r="AB15" i="5"/>
  <c r="AA15" i="5"/>
  <c r="Z15" i="5"/>
  <c r="X15" i="5"/>
  <c r="W15" i="5"/>
  <c r="V15" i="5"/>
  <c r="T15" i="5"/>
  <c r="S15" i="5"/>
  <c r="R15" i="5"/>
  <c r="D15" i="5"/>
  <c r="C15" i="5"/>
  <c r="B15" i="5"/>
  <c r="AB14" i="5"/>
  <c r="AA14" i="5"/>
  <c r="Z14" i="5"/>
  <c r="X14" i="5"/>
  <c r="W14" i="5"/>
  <c r="V14" i="5"/>
  <c r="T14" i="5"/>
  <c r="S14" i="5"/>
  <c r="R14" i="5"/>
  <c r="D14" i="5"/>
  <c r="C14" i="5"/>
  <c r="B14" i="5"/>
  <c r="AB13" i="5"/>
  <c r="AA13" i="5"/>
  <c r="Z13" i="5"/>
  <c r="X13" i="5"/>
  <c r="W13" i="5"/>
  <c r="V13" i="5"/>
  <c r="T13" i="5"/>
  <c r="S13" i="5"/>
  <c r="R13" i="5"/>
  <c r="D13" i="5"/>
  <c r="C13" i="5"/>
  <c r="B13" i="5"/>
  <c r="AB12" i="5"/>
  <c r="AA12" i="5"/>
  <c r="Z12" i="5"/>
  <c r="X12" i="5"/>
  <c r="W12" i="5"/>
  <c r="V12" i="5"/>
  <c r="T12" i="5"/>
  <c r="S12" i="5"/>
  <c r="R12" i="5"/>
  <c r="D12" i="5"/>
  <c r="C12" i="5"/>
  <c r="B12" i="5"/>
  <c r="AB11" i="5"/>
  <c r="AA11" i="5"/>
  <c r="Z11" i="5"/>
  <c r="X11" i="5"/>
  <c r="W11" i="5"/>
  <c r="V11" i="5"/>
  <c r="T11" i="5"/>
  <c r="S11" i="5"/>
  <c r="R11" i="5"/>
  <c r="D11" i="5"/>
  <c r="C11" i="5"/>
  <c r="B11" i="5"/>
  <c r="AB10" i="5"/>
  <c r="AA10" i="5"/>
  <c r="Z10" i="5"/>
  <c r="X10" i="5"/>
  <c r="W10" i="5"/>
  <c r="V10" i="5"/>
  <c r="T10" i="5"/>
  <c r="S10" i="5"/>
  <c r="R10" i="5"/>
  <c r="D10" i="5"/>
  <c r="C10" i="5"/>
  <c r="B10" i="5"/>
  <c r="AB9" i="5"/>
  <c r="AA9" i="5"/>
  <c r="Z9" i="5"/>
  <c r="X9" i="5"/>
  <c r="W9" i="5"/>
  <c r="V9" i="5"/>
  <c r="T9" i="5"/>
  <c r="S9" i="5"/>
  <c r="R9" i="5"/>
  <c r="D9" i="5"/>
  <c r="C9" i="5"/>
  <c r="B9" i="5"/>
  <c r="AB8" i="5"/>
  <c r="AA8" i="5"/>
  <c r="Z8" i="5"/>
  <c r="X8" i="5"/>
  <c r="W8" i="5"/>
  <c r="V8" i="5"/>
  <c r="T8" i="5"/>
  <c r="S8" i="5"/>
  <c r="R8" i="5"/>
  <c r="D8" i="5"/>
  <c r="C8" i="5"/>
  <c r="B8" i="5"/>
  <c r="AB7" i="5"/>
  <c r="AA7" i="5"/>
  <c r="Z7" i="5"/>
  <c r="X7" i="5"/>
  <c r="W7" i="5"/>
  <c r="V7" i="5"/>
  <c r="T7" i="5"/>
  <c r="S7" i="5"/>
  <c r="R7" i="5"/>
  <c r="D7" i="5"/>
  <c r="C7" i="5"/>
  <c r="B7" i="5"/>
  <c r="AB6" i="5"/>
  <c r="AA6" i="5"/>
  <c r="Z6" i="5"/>
  <c r="X6" i="5"/>
  <c r="W6" i="5"/>
  <c r="V6" i="5"/>
  <c r="T6" i="5"/>
  <c r="S6" i="5"/>
  <c r="R6" i="5"/>
  <c r="D6" i="5"/>
  <c r="C6" i="5"/>
  <c r="B6" i="5"/>
  <c r="AB5" i="5"/>
  <c r="AA5" i="5"/>
  <c r="Z5" i="5"/>
  <c r="X5" i="5"/>
  <c r="W5" i="5"/>
  <c r="V5" i="5"/>
  <c r="T5" i="5"/>
  <c r="S5" i="5"/>
  <c r="R5" i="5"/>
  <c r="D5" i="5"/>
  <c r="C5" i="5"/>
  <c r="B5" i="5"/>
  <c r="AB4" i="5"/>
  <c r="AA4" i="5"/>
  <c r="Z4" i="5"/>
  <c r="X4" i="5"/>
  <c r="W4" i="5"/>
  <c r="V4" i="5"/>
  <c r="T4" i="5"/>
  <c r="S4" i="5"/>
  <c r="R4" i="5"/>
  <c r="D4" i="5"/>
  <c r="C4" i="5"/>
  <c r="B4" i="5"/>
  <c r="AB3" i="5"/>
  <c r="AA3" i="5"/>
  <c r="Z3" i="5"/>
  <c r="X3" i="5"/>
  <c r="W3" i="5"/>
  <c r="V3" i="5"/>
  <c r="T3" i="5"/>
  <c r="S3" i="5"/>
  <c r="R3" i="5"/>
  <c r="D3" i="5"/>
  <c r="C3" i="5"/>
  <c r="B3" i="5"/>
  <c r="F214" i="4"/>
  <c r="E214" i="4"/>
  <c r="C214" i="4"/>
  <c r="B214" i="4"/>
  <c r="F213" i="4"/>
  <c r="E213" i="4"/>
  <c r="C213" i="4"/>
  <c r="B213" i="4"/>
  <c r="F212" i="4"/>
  <c r="E212" i="4"/>
  <c r="C212" i="4"/>
  <c r="B212" i="4"/>
  <c r="F211" i="4"/>
  <c r="E211" i="4"/>
  <c r="C211" i="4"/>
  <c r="B211" i="4"/>
  <c r="F210" i="4"/>
  <c r="E210" i="4"/>
  <c r="C210" i="4"/>
  <c r="B210" i="4"/>
  <c r="F209" i="4"/>
  <c r="E209" i="4"/>
  <c r="C209" i="4"/>
  <c r="B209" i="4"/>
  <c r="F208" i="4"/>
  <c r="E208" i="4"/>
  <c r="C208" i="4"/>
  <c r="B208" i="4"/>
  <c r="F207" i="4"/>
  <c r="E207" i="4"/>
  <c r="C207" i="4"/>
  <c r="B207" i="4"/>
  <c r="F206" i="4"/>
  <c r="E206" i="4"/>
  <c r="C206" i="4"/>
  <c r="B206" i="4"/>
  <c r="F205" i="4"/>
  <c r="E205" i="4"/>
  <c r="C205" i="4"/>
  <c r="B205" i="4"/>
  <c r="F204" i="4"/>
  <c r="E204" i="4"/>
  <c r="C204" i="4"/>
  <c r="B204" i="4"/>
  <c r="F203" i="4"/>
  <c r="E203" i="4"/>
  <c r="C203" i="4"/>
  <c r="B203" i="4"/>
  <c r="F202" i="4"/>
  <c r="E202" i="4"/>
  <c r="C202" i="4"/>
  <c r="B202" i="4"/>
  <c r="F201" i="4"/>
  <c r="E201" i="4"/>
  <c r="C201" i="4"/>
  <c r="B201" i="4"/>
  <c r="F200" i="4"/>
  <c r="E200" i="4"/>
  <c r="C200" i="4"/>
  <c r="B200" i="4"/>
  <c r="F199" i="4"/>
  <c r="E199" i="4"/>
  <c r="C199" i="4"/>
  <c r="B199" i="4"/>
  <c r="F198" i="4"/>
  <c r="E198" i="4"/>
  <c r="C198" i="4"/>
  <c r="B198" i="4"/>
  <c r="F197" i="4"/>
  <c r="E197" i="4"/>
  <c r="C197" i="4"/>
  <c r="B197" i="4"/>
  <c r="F196" i="4"/>
  <c r="E196" i="4"/>
  <c r="C196" i="4"/>
  <c r="B196" i="4"/>
  <c r="F195" i="4"/>
  <c r="E195" i="4"/>
  <c r="C195" i="4"/>
  <c r="B195" i="4"/>
  <c r="F194" i="4"/>
  <c r="E194" i="4"/>
  <c r="C194" i="4"/>
  <c r="B194" i="4"/>
  <c r="F193" i="4"/>
  <c r="E193" i="4"/>
  <c r="C193" i="4"/>
  <c r="B193" i="4"/>
  <c r="F192" i="4"/>
  <c r="E192" i="4"/>
  <c r="C192" i="4"/>
  <c r="B192" i="4"/>
  <c r="F191" i="4"/>
  <c r="E191" i="4"/>
  <c r="C191" i="4"/>
  <c r="B191" i="4"/>
  <c r="F190" i="4"/>
  <c r="E190" i="4"/>
  <c r="C190" i="4"/>
  <c r="B190" i="4"/>
  <c r="F189" i="4"/>
  <c r="E189" i="4"/>
  <c r="C189" i="4"/>
  <c r="B189" i="4"/>
  <c r="F188" i="4"/>
  <c r="E188" i="4"/>
  <c r="C188" i="4"/>
  <c r="F187" i="4"/>
  <c r="E187" i="4"/>
  <c r="C187" i="4"/>
  <c r="E186" i="4"/>
  <c r="C186" i="4"/>
  <c r="E185" i="4"/>
  <c r="C185" i="4"/>
  <c r="E184" i="4"/>
  <c r="C184" i="4"/>
  <c r="E183" i="4"/>
  <c r="C183" i="4"/>
  <c r="E182" i="4"/>
  <c r="C182" i="4"/>
  <c r="E181" i="4"/>
  <c r="C181" i="4"/>
  <c r="E180" i="4"/>
  <c r="C180" i="4"/>
  <c r="E179" i="4"/>
  <c r="C179" i="4"/>
  <c r="E178" i="4"/>
  <c r="C178" i="4"/>
  <c r="E177" i="4"/>
  <c r="C177" i="4"/>
  <c r="E176" i="4"/>
  <c r="C176" i="4"/>
  <c r="E175" i="4"/>
  <c r="C175" i="4"/>
  <c r="E174" i="4"/>
  <c r="C174" i="4"/>
  <c r="E173" i="4"/>
  <c r="C173" i="4"/>
  <c r="E172" i="4"/>
  <c r="C172" i="4"/>
  <c r="E171" i="4"/>
  <c r="C171" i="4"/>
  <c r="E170" i="4"/>
  <c r="C170" i="4"/>
  <c r="E169" i="4"/>
  <c r="C169" i="4"/>
  <c r="E168" i="4"/>
  <c r="C168" i="4"/>
  <c r="E167" i="4"/>
  <c r="C167" i="4"/>
  <c r="E166" i="4"/>
  <c r="C166" i="4"/>
  <c r="E165" i="4"/>
  <c r="C165" i="4"/>
  <c r="E164" i="4"/>
  <c r="C164" i="4"/>
  <c r="F161" i="4"/>
  <c r="E161" i="4"/>
  <c r="C161" i="4"/>
  <c r="B161" i="4"/>
  <c r="F160" i="4"/>
  <c r="E160" i="4"/>
  <c r="C160" i="4"/>
  <c r="B160" i="4"/>
  <c r="F159" i="4"/>
  <c r="E159" i="4"/>
  <c r="C159" i="4"/>
  <c r="B159" i="4"/>
  <c r="F158" i="4"/>
  <c r="E158" i="4"/>
  <c r="C158" i="4"/>
  <c r="B158" i="4"/>
  <c r="F157" i="4"/>
  <c r="E157" i="4"/>
  <c r="C157" i="4"/>
  <c r="B157" i="4"/>
  <c r="F156" i="4"/>
  <c r="E156" i="4"/>
  <c r="C156" i="4"/>
  <c r="B156" i="4"/>
  <c r="F155" i="4"/>
  <c r="E155" i="4"/>
  <c r="C155" i="4"/>
  <c r="B155" i="4"/>
  <c r="F154" i="4"/>
  <c r="E154" i="4"/>
  <c r="C154" i="4"/>
  <c r="B154" i="4"/>
  <c r="F153" i="4"/>
  <c r="E153" i="4"/>
  <c r="C153" i="4"/>
  <c r="B153" i="4"/>
  <c r="F152" i="4"/>
  <c r="E152" i="4"/>
  <c r="C152" i="4"/>
  <c r="B152" i="4"/>
  <c r="F151" i="4"/>
  <c r="E151" i="4"/>
  <c r="C151" i="4"/>
  <c r="B151" i="4"/>
  <c r="F150" i="4"/>
  <c r="E150" i="4"/>
  <c r="C150" i="4"/>
  <c r="B150" i="4"/>
  <c r="F149" i="4"/>
  <c r="E149" i="4"/>
  <c r="C149" i="4"/>
  <c r="B149" i="4"/>
  <c r="F148" i="4"/>
  <c r="E148" i="4"/>
  <c r="C148" i="4"/>
  <c r="B148" i="4"/>
  <c r="F147" i="4"/>
  <c r="E147" i="4"/>
  <c r="C147" i="4"/>
  <c r="B147" i="4"/>
  <c r="F146" i="4"/>
  <c r="E146" i="4"/>
  <c r="C146" i="4"/>
  <c r="B146" i="4"/>
  <c r="F145" i="4"/>
  <c r="E145" i="4"/>
  <c r="C145" i="4"/>
  <c r="B145" i="4"/>
  <c r="F144" i="4"/>
  <c r="E144" i="4"/>
  <c r="C144" i="4"/>
  <c r="B144" i="4"/>
  <c r="F143" i="4"/>
  <c r="E143" i="4"/>
  <c r="C143" i="4"/>
  <c r="B143" i="4"/>
  <c r="F142" i="4"/>
  <c r="E142" i="4"/>
  <c r="C142" i="4"/>
  <c r="B142" i="4"/>
  <c r="F141" i="4"/>
  <c r="E141" i="4"/>
  <c r="C141" i="4"/>
  <c r="B141" i="4"/>
  <c r="F140" i="4"/>
  <c r="E140" i="4"/>
  <c r="C140" i="4"/>
  <c r="B140" i="4"/>
  <c r="F139" i="4"/>
  <c r="E139" i="4"/>
  <c r="C139" i="4"/>
  <c r="B139" i="4"/>
  <c r="F138" i="4"/>
  <c r="E138" i="4"/>
  <c r="C138" i="4"/>
  <c r="B138" i="4"/>
  <c r="F137" i="4"/>
  <c r="E137" i="4"/>
  <c r="C137" i="4"/>
  <c r="B137" i="4"/>
  <c r="F136" i="4"/>
  <c r="E136" i="4"/>
  <c r="C136" i="4"/>
  <c r="B136" i="4"/>
  <c r="F135" i="4"/>
  <c r="E135" i="4"/>
  <c r="C135" i="4"/>
  <c r="F134" i="4"/>
  <c r="E134" i="4"/>
  <c r="C134" i="4"/>
  <c r="F133" i="4"/>
  <c r="E133" i="4"/>
  <c r="C133" i="4"/>
  <c r="E132" i="4"/>
  <c r="C132" i="4"/>
  <c r="E131" i="4"/>
  <c r="C131" i="4"/>
  <c r="E130" i="4"/>
  <c r="C130" i="4"/>
  <c r="E129" i="4"/>
  <c r="C129" i="4"/>
  <c r="E128" i="4"/>
  <c r="C128" i="4"/>
  <c r="E127" i="4"/>
  <c r="C127" i="4"/>
  <c r="E126" i="4"/>
  <c r="C126" i="4"/>
  <c r="E125" i="4"/>
  <c r="C125" i="4"/>
  <c r="F124" i="4"/>
  <c r="E124" i="4"/>
  <c r="C124" i="4"/>
  <c r="E123" i="4"/>
  <c r="C123" i="4"/>
  <c r="E122" i="4"/>
  <c r="C122" i="4"/>
  <c r="E121" i="4"/>
  <c r="C121" i="4"/>
  <c r="E120" i="4"/>
  <c r="C120" i="4"/>
  <c r="E119" i="4"/>
  <c r="C119" i="4"/>
  <c r="E118" i="4"/>
  <c r="C118" i="4"/>
  <c r="E117" i="4"/>
  <c r="C117" i="4"/>
  <c r="E116" i="4"/>
  <c r="C116" i="4"/>
  <c r="E115" i="4"/>
  <c r="C115" i="4"/>
  <c r="E114" i="4"/>
  <c r="C114" i="4"/>
  <c r="E113" i="4"/>
  <c r="C113" i="4"/>
  <c r="E112" i="4"/>
  <c r="C112" i="4"/>
  <c r="E111" i="4"/>
  <c r="C111" i="4"/>
  <c r="F109" i="4"/>
  <c r="F108" i="4"/>
  <c r="C108" i="4"/>
  <c r="B108" i="4"/>
  <c r="F107" i="4"/>
  <c r="C107" i="4"/>
  <c r="B107" i="4"/>
  <c r="F106" i="4"/>
  <c r="C106" i="4"/>
  <c r="B106" i="4"/>
  <c r="F105" i="4"/>
  <c r="C105" i="4"/>
  <c r="B105" i="4"/>
  <c r="F104" i="4"/>
  <c r="C104" i="4"/>
  <c r="B104" i="4"/>
  <c r="F103" i="4"/>
  <c r="C103" i="4"/>
  <c r="B103" i="4"/>
  <c r="F102" i="4"/>
  <c r="C102" i="4"/>
  <c r="B102" i="4"/>
  <c r="F101" i="4"/>
  <c r="C101" i="4"/>
  <c r="B101" i="4"/>
  <c r="F100" i="4"/>
  <c r="C100" i="4"/>
  <c r="B100" i="4"/>
  <c r="F99" i="4"/>
  <c r="C99" i="4"/>
  <c r="B99" i="4"/>
  <c r="F98" i="4"/>
  <c r="C98" i="4"/>
  <c r="B98" i="4"/>
  <c r="F97" i="4"/>
  <c r="C97" i="4"/>
  <c r="B97" i="4"/>
  <c r="F96" i="4"/>
  <c r="C96" i="4"/>
  <c r="B96" i="4"/>
  <c r="F95" i="4"/>
  <c r="C95" i="4"/>
  <c r="B95" i="4"/>
  <c r="F94" i="4"/>
  <c r="C94" i="4"/>
  <c r="B94" i="4"/>
  <c r="F93" i="4"/>
  <c r="C93" i="4"/>
  <c r="B93" i="4"/>
  <c r="F92" i="4"/>
  <c r="C92" i="4"/>
  <c r="B92" i="4"/>
  <c r="F91" i="4"/>
  <c r="C91" i="4"/>
  <c r="B91" i="4"/>
  <c r="F90" i="4"/>
  <c r="C90" i="4"/>
  <c r="B90" i="4"/>
  <c r="F89" i="4"/>
  <c r="C89" i="4"/>
  <c r="B89" i="4"/>
  <c r="F88" i="4"/>
  <c r="C88" i="4"/>
  <c r="B88" i="4"/>
  <c r="F87" i="4"/>
  <c r="C87" i="4"/>
  <c r="B87" i="4"/>
  <c r="F86" i="4"/>
  <c r="C86" i="4"/>
  <c r="B86" i="4"/>
  <c r="F85" i="4"/>
  <c r="C85" i="4"/>
  <c r="B85" i="4"/>
  <c r="F84" i="4"/>
  <c r="C84" i="4"/>
  <c r="B84" i="4"/>
  <c r="F83" i="4"/>
  <c r="C83" i="4"/>
  <c r="B83" i="4"/>
  <c r="F82" i="4"/>
  <c r="C82" i="4"/>
  <c r="F81" i="4"/>
  <c r="E81" i="4"/>
  <c r="C81" i="4"/>
  <c r="E80" i="4"/>
  <c r="C80" i="4"/>
  <c r="E79" i="4"/>
  <c r="C79" i="4"/>
  <c r="E78" i="4"/>
  <c r="C78" i="4"/>
  <c r="E77" i="4"/>
  <c r="C77" i="4"/>
  <c r="E76" i="4"/>
  <c r="C76" i="4"/>
  <c r="E75" i="4"/>
  <c r="C75" i="4"/>
  <c r="E74" i="4"/>
  <c r="C74" i="4"/>
  <c r="E73" i="4"/>
  <c r="C73" i="4"/>
  <c r="E72" i="4"/>
  <c r="C72" i="4"/>
  <c r="E71" i="4"/>
  <c r="C71" i="4"/>
  <c r="E70" i="4"/>
  <c r="C70" i="4"/>
  <c r="E69" i="4"/>
  <c r="C69" i="4"/>
  <c r="E68" i="4"/>
  <c r="C68" i="4"/>
  <c r="E67" i="4"/>
  <c r="C67" i="4"/>
  <c r="E66" i="4"/>
  <c r="C66" i="4"/>
  <c r="E65" i="4"/>
  <c r="C65" i="4"/>
  <c r="E64" i="4"/>
  <c r="C64" i="4"/>
  <c r="E63" i="4"/>
  <c r="C63" i="4"/>
  <c r="E62" i="4"/>
  <c r="C62" i="4"/>
  <c r="E61" i="4"/>
  <c r="C61" i="4"/>
  <c r="E60" i="4"/>
  <c r="C60" i="4"/>
  <c r="E59" i="4"/>
  <c r="C59" i="4"/>
  <c r="E58" i="4"/>
  <c r="C58" i="4"/>
  <c r="P53" i="4"/>
  <c r="AB53" i="4" s="1"/>
  <c r="O53" i="4"/>
  <c r="AA53" i="4" s="1"/>
  <c r="N53" i="4"/>
  <c r="Z53" i="4" s="1"/>
  <c r="L53" i="4"/>
  <c r="X53" i="4" s="1"/>
  <c r="K53" i="4"/>
  <c r="W53" i="4" s="1"/>
  <c r="J53" i="4"/>
  <c r="V53" i="4" s="1"/>
  <c r="H53" i="4"/>
  <c r="T53" i="4" s="1"/>
  <c r="G53" i="4"/>
  <c r="S53" i="4" s="1"/>
  <c r="F53" i="4"/>
  <c r="R53" i="4" s="1"/>
  <c r="D53" i="4"/>
  <c r="C53" i="4"/>
  <c r="B53" i="4"/>
  <c r="D52" i="4"/>
  <c r="C52" i="4"/>
  <c r="B52" i="4"/>
  <c r="D51" i="4"/>
  <c r="C51" i="4"/>
  <c r="B51" i="4"/>
  <c r="D50" i="4"/>
  <c r="C50" i="4"/>
  <c r="B50" i="4"/>
  <c r="D49" i="4"/>
  <c r="C49" i="4"/>
  <c r="B49" i="4"/>
  <c r="D48" i="4"/>
  <c r="C48" i="4"/>
  <c r="B48" i="4"/>
  <c r="D47" i="4"/>
  <c r="C47" i="4"/>
  <c r="B47" i="4"/>
  <c r="D46" i="4"/>
  <c r="C46" i="4"/>
  <c r="B46" i="4"/>
  <c r="D45" i="4"/>
  <c r="C45" i="4"/>
  <c r="B45" i="4"/>
  <c r="L44" i="4"/>
  <c r="X44" i="4" s="1"/>
  <c r="K44" i="4"/>
  <c r="W44" i="4" s="1"/>
  <c r="J44" i="4"/>
  <c r="V44" i="4" s="1"/>
  <c r="D44" i="4"/>
  <c r="C44" i="4"/>
  <c r="B44" i="4"/>
  <c r="X43" i="4"/>
  <c r="W43" i="4"/>
  <c r="V43" i="4"/>
  <c r="L43" i="4"/>
  <c r="K43" i="4"/>
  <c r="J43" i="4"/>
  <c r="D43" i="4"/>
  <c r="C43" i="4"/>
  <c r="B43" i="4"/>
  <c r="X42" i="4"/>
  <c r="W42" i="4"/>
  <c r="V42" i="4"/>
  <c r="L42" i="4"/>
  <c r="K42" i="4"/>
  <c r="J42" i="4"/>
  <c r="D42" i="4"/>
  <c r="C42" i="4"/>
  <c r="B42" i="4"/>
  <c r="X41" i="4"/>
  <c r="W41" i="4"/>
  <c r="V41" i="4"/>
  <c r="L41" i="4"/>
  <c r="K41" i="4"/>
  <c r="J41" i="4"/>
  <c r="D41" i="4"/>
  <c r="C41" i="4"/>
  <c r="B41" i="4"/>
  <c r="X40" i="4"/>
  <c r="W40" i="4"/>
  <c r="V40" i="4"/>
  <c r="L40" i="4"/>
  <c r="K40" i="4"/>
  <c r="J40" i="4"/>
  <c r="D40" i="4"/>
  <c r="C40" i="4"/>
  <c r="B40" i="4"/>
  <c r="X39" i="4"/>
  <c r="W39" i="4"/>
  <c r="V39" i="4"/>
  <c r="L39" i="4"/>
  <c r="K39" i="4"/>
  <c r="J39" i="4"/>
  <c r="D39" i="4"/>
  <c r="C39" i="4"/>
  <c r="B39" i="4"/>
  <c r="X38" i="4"/>
  <c r="W38" i="4"/>
  <c r="V38" i="4"/>
  <c r="L38" i="4"/>
  <c r="K38" i="4"/>
  <c r="J38" i="4"/>
  <c r="D38" i="4"/>
  <c r="C38" i="4"/>
  <c r="B38" i="4"/>
  <c r="X37" i="4"/>
  <c r="W37" i="4"/>
  <c r="V37" i="4"/>
  <c r="L37" i="4"/>
  <c r="K37" i="4"/>
  <c r="J37" i="4"/>
  <c r="D37" i="4"/>
  <c r="C37" i="4"/>
  <c r="B37" i="4"/>
  <c r="X36" i="4"/>
  <c r="W36" i="4"/>
  <c r="V36" i="4"/>
  <c r="L36" i="4"/>
  <c r="K36" i="4"/>
  <c r="J36" i="4"/>
  <c r="D36" i="4"/>
  <c r="C36" i="4"/>
  <c r="B36" i="4"/>
  <c r="X35" i="4"/>
  <c r="W35" i="4"/>
  <c r="V35" i="4"/>
  <c r="L35" i="4"/>
  <c r="K35" i="4"/>
  <c r="J35" i="4"/>
  <c r="D35" i="4"/>
  <c r="C35" i="4"/>
  <c r="B35" i="4"/>
  <c r="X34" i="4"/>
  <c r="W34" i="4"/>
  <c r="V34" i="4"/>
  <c r="L34" i="4"/>
  <c r="K34" i="4"/>
  <c r="J34" i="4"/>
  <c r="H34" i="4"/>
  <c r="T34" i="4" s="1"/>
  <c r="G34" i="4"/>
  <c r="S34" i="4" s="1"/>
  <c r="F34" i="4"/>
  <c r="R34" i="4" s="1"/>
  <c r="D34" i="4"/>
  <c r="C34" i="4"/>
  <c r="B34" i="4"/>
  <c r="X33" i="4"/>
  <c r="W33" i="4"/>
  <c r="V33" i="4"/>
  <c r="T33" i="4"/>
  <c r="S33" i="4"/>
  <c r="R33" i="4"/>
  <c r="L33" i="4"/>
  <c r="K33" i="4"/>
  <c r="J33" i="4"/>
  <c r="H33" i="4"/>
  <c r="G33" i="4"/>
  <c r="F33" i="4"/>
  <c r="D33" i="4"/>
  <c r="C33" i="4"/>
  <c r="B33" i="4"/>
  <c r="X32" i="4"/>
  <c r="W32" i="4"/>
  <c r="V32" i="4"/>
  <c r="T32" i="4"/>
  <c r="S32" i="4"/>
  <c r="R32" i="4"/>
  <c r="L32" i="4"/>
  <c r="K32" i="4"/>
  <c r="J32" i="4"/>
  <c r="H32" i="4"/>
  <c r="G32" i="4"/>
  <c r="F32" i="4"/>
  <c r="D32" i="4"/>
  <c r="C32" i="4"/>
  <c r="B32" i="4"/>
  <c r="X31" i="4"/>
  <c r="W31" i="4"/>
  <c r="V31" i="4"/>
  <c r="T31" i="4"/>
  <c r="S31" i="4"/>
  <c r="R31" i="4"/>
  <c r="L31" i="4"/>
  <c r="K31" i="4"/>
  <c r="J31" i="4"/>
  <c r="H31" i="4"/>
  <c r="G31" i="4"/>
  <c r="F31" i="4"/>
  <c r="D31" i="4"/>
  <c r="C31" i="4"/>
  <c r="B31" i="4"/>
  <c r="X30" i="4"/>
  <c r="W30" i="4"/>
  <c r="V30" i="4"/>
  <c r="T30" i="4"/>
  <c r="S30" i="4"/>
  <c r="R30" i="4"/>
  <c r="L30" i="4"/>
  <c r="K30" i="4"/>
  <c r="J30" i="4"/>
  <c r="H30" i="4"/>
  <c r="G30" i="4"/>
  <c r="F30" i="4"/>
  <c r="D30" i="4"/>
  <c r="C30" i="4"/>
  <c r="B30" i="4"/>
  <c r="X29" i="4"/>
  <c r="W29" i="4"/>
  <c r="V29" i="4"/>
  <c r="T29" i="4"/>
  <c r="S29" i="4"/>
  <c r="R29" i="4"/>
  <c r="L29" i="4"/>
  <c r="K29" i="4"/>
  <c r="J29" i="4"/>
  <c r="H29" i="4"/>
  <c r="G29" i="4"/>
  <c r="F29" i="4"/>
  <c r="D29" i="4"/>
  <c r="C29" i="4"/>
  <c r="B29" i="4"/>
  <c r="AA28" i="4"/>
  <c r="X28" i="4"/>
  <c r="W28" i="4"/>
  <c r="V28" i="4"/>
  <c r="T28" i="4"/>
  <c r="S28" i="4"/>
  <c r="R28" i="4"/>
  <c r="P28" i="4"/>
  <c r="AB28" i="4" s="1"/>
  <c r="O28" i="4"/>
  <c r="N28" i="4"/>
  <c r="Z28" i="4" s="1"/>
  <c r="L28" i="4"/>
  <c r="K28" i="4"/>
  <c r="J28" i="4"/>
  <c r="H28" i="4"/>
  <c r="G28" i="4"/>
  <c r="F28" i="4"/>
  <c r="D28" i="4"/>
  <c r="C28" i="4"/>
  <c r="B28" i="4"/>
  <c r="AB27" i="4"/>
  <c r="AA27" i="4"/>
  <c r="Z27" i="4"/>
  <c r="X27" i="4"/>
  <c r="W27" i="4"/>
  <c r="V27" i="4"/>
  <c r="T27" i="4"/>
  <c r="S27" i="4"/>
  <c r="R27" i="4"/>
  <c r="P27" i="4"/>
  <c r="O27" i="4"/>
  <c r="N27" i="4"/>
  <c r="L27" i="4"/>
  <c r="K27" i="4"/>
  <c r="J27" i="4"/>
  <c r="H27" i="4"/>
  <c r="G27" i="4"/>
  <c r="F27" i="4"/>
  <c r="D27" i="4"/>
  <c r="C27" i="4"/>
  <c r="B27" i="4"/>
  <c r="AB26" i="4"/>
  <c r="AA26" i="4"/>
  <c r="Z26" i="4"/>
  <c r="X26" i="4"/>
  <c r="W26" i="4"/>
  <c r="V26" i="4"/>
  <c r="T26" i="4"/>
  <c r="S26" i="4"/>
  <c r="R26" i="4"/>
  <c r="D26" i="4"/>
  <c r="C26" i="4"/>
  <c r="B26" i="4"/>
  <c r="AB25" i="4"/>
  <c r="AA25" i="4"/>
  <c r="Z25" i="4"/>
  <c r="X25" i="4"/>
  <c r="W25" i="4"/>
  <c r="V25" i="4"/>
  <c r="T25" i="4"/>
  <c r="S25" i="4"/>
  <c r="R25" i="4"/>
  <c r="D25" i="4"/>
  <c r="C25" i="4"/>
  <c r="B25" i="4"/>
  <c r="AB24" i="4"/>
  <c r="AA24" i="4"/>
  <c r="Z24" i="4"/>
  <c r="X24" i="4"/>
  <c r="W24" i="4"/>
  <c r="V24" i="4"/>
  <c r="T24" i="4"/>
  <c r="S24" i="4"/>
  <c r="R24" i="4"/>
  <c r="D24" i="4"/>
  <c r="C24" i="4"/>
  <c r="B24" i="4"/>
  <c r="AB23" i="4"/>
  <c r="AA23" i="4"/>
  <c r="Z23" i="4"/>
  <c r="X23" i="4"/>
  <c r="W23" i="4"/>
  <c r="V23" i="4"/>
  <c r="T23" i="4"/>
  <c r="S23" i="4"/>
  <c r="R23" i="4"/>
  <c r="D23" i="4"/>
  <c r="C23" i="4"/>
  <c r="B23" i="4"/>
  <c r="AB22" i="4"/>
  <c r="AA22" i="4"/>
  <c r="Z22" i="4"/>
  <c r="X22" i="4"/>
  <c r="W22" i="4"/>
  <c r="V22" i="4"/>
  <c r="T22" i="4"/>
  <c r="S22" i="4"/>
  <c r="R22" i="4"/>
  <c r="D22" i="4"/>
  <c r="C22" i="4"/>
  <c r="B22" i="4"/>
  <c r="AB21" i="4"/>
  <c r="AA21" i="4"/>
  <c r="Z21" i="4"/>
  <c r="X21" i="4"/>
  <c r="W21" i="4"/>
  <c r="V21" i="4"/>
  <c r="T21" i="4"/>
  <c r="S21" i="4"/>
  <c r="R21" i="4"/>
  <c r="D21" i="4"/>
  <c r="C21" i="4"/>
  <c r="B21" i="4"/>
  <c r="AB20" i="4"/>
  <c r="AA20" i="4"/>
  <c r="Z20" i="4"/>
  <c r="X20" i="4"/>
  <c r="W20" i="4"/>
  <c r="V20" i="4"/>
  <c r="T20" i="4"/>
  <c r="S20" i="4"/>
  <c r="R20" i="4"/>
  <c r="D20" i="4"/>
  <c r="C20" i="4"/>
  <c r="B20" i="4"/>
  <c r="AB19" i="4"/>
  <c r="AA19" i="4"/>
  <c r="Z19" i="4"/>
  <c r="X19" i="4"/>
  <c r="W19" i="4"/>
  <c r="V19" i="4"/>
  <c r="T19" i="4"/>
  <c r="S19" i="4"/>
  <c r="R19" i="4"/>
  <c r="D19" i="4"/>
  <c r="C19" i="4"/>
  <c r="B19" i="4"/>
  <c r="AB18" i="4"/>
  <c r="AA18" i="4"/>
  <c r="Z18" i="4"/>
  <c r="X18" i="4"/>
  <c r="W18" i="4"/>
  <c r="V18" i="4"/>
  <c r="T18" i="4"/>
  <c r="S18" i="4"/>
  <c r="R18" i="4"/>
  <c r="D18" i="4"/>
  <c r="C18" i="4"/>
  <c r="B18" i="4"/>
  <c r="AB17" i="4"/>
  <c r="AA17" i="4"/>
  <c r="Z17" i="4"/>
  <c r="X17" i="4"/>
  <c r="W17" i="4"/>
  <c r="V17" i="4"/>
  <c r="T17" i="4"/>
  <c r="S17" i="4"/>
  <c r="R17" i="4"/>
  <c r="D17" i="4"/>
  <c r="C17" i="4"/>
  <c r="B17" i="4"/>
  <c r="AB16" i="4"/>
  <c r="AA16" i="4"/>
  <c r="Z16" i="4"/>
  <c r="X16" i="4"/>
  <c r="W16" i="4"/>
  <c r="V16" i="4"/>
  <c r="T16" i="4"/>
  <c r="S16" i="4"/>
  <c r="R16" i="4"/>
  <c r="D16" i="4"/>
  <c r="C16" i="4"/>
  <c r="B16" i="4"/>
  <c r="AB15" i="4"/>
  <c r="AA15" i="4"/>
  <c r="Z15" i="4"/>
  <c r="X15" i="4"/>
  <c r="W15" i="4"/>
  <c r="V15" i="4"/>
  <c r="T15" i="4"/>
  <c r="S15" i="4"/>
  <c r="R15" i="4"/>
  <c r="D15" i="4"/>
  <c r="C15" i="4"/>
  <c r="B15" i="4"/>
  <c r="AB14" i="4"/>
  <c r="AA14" i="4"/>
  <c r="Z14" i="4"/>
  <c r="X14" i="4"/>
  <c r="W14" i="4"/>
  <c r="V14" i="4"/>
  <c r="T14" i="4"/>
  <c r="S14" i="4"/>
  <c r="R14" i="4"/>
  <c r="D14" i="4"/>
  <c r="C14" i="4"/>
  <c r="B14" i="4"/>
  <c r="AB13" i="4"/>
  <c r="AA13" i="4"/>
  <c r="Z13" i="4"/>
  <c r="X13" i="4"/>
  <c r="W13" i="4"/>
  <c r="V13" i="4"/>
  <c r="T13" i="4"/>
  <c r="S13" i="4"/>
  <c r="R13" i="4"/>
  <c r="D13" i="4"/>
  <c r="C13" i="4"/>
  <c r="B13" i="4"/>
  <c r="AB12" i="4"/>
  <c r="AA12" i="4"/>
  <c r="Z12" i="4"/>
  <c r="X12" i="4"/>
  <c r="W12" i="4"/>
  <c r="V12" i="4"/>
  <c r="T12" i="4"/>
  <c r="S12" i="4"/>
  <c r="R12" i="4"/>
  <c r="D12" i="4"/>
  <c r="C12" i="4"/>
  <c r="B12" i="4"/>
  <c r="AB11" i="4"/>
  <c r="AA11" i="4"/>
  <c r="Z11" i="4"/>
  <c r="X11" i="4"/>
  <c r="W11" i="4"/>
  <c r="V11" i="4"/>
  <c r="T11" i="4"/>
  <c r="S11" i="4"/>
  <c r="R11" i="4"/>
  <c r="D11" i="4"/>
  <c r="C11" i="4"/>
  <c r="B11" i="4"/>
  <c r="AB10" i="4"/>
  <c r="AA10" i="4"/>
  <c r="Z10" i="4"/>
  <c r="X10" i="4"/>
  <c r="W10" i="4"/>
  <c r="V10" i="4"/>
  <c r="T10" i="4"/>
  <c r="S10" i="4"/>
  <c r="R10" i="4"/>
  <c r="D10" i="4"/>
  <c r="C10" i="4"/>
  <c r="B10" i="4"/>
  <c r="AB9" i="4"/>
  <c r="AA9" i="4"/>
  <c r="Z9" i="4"/>
  <c r="X9" i="4"/>
  <c r="W9" i="4"/>
  <c r="V9" i="4"/>
  <c r="T9" i="4"/>
  <c r="S9" i="4"/>
  <c r="R9" i="4"/>
  <c r="D9" i="4"/>
  <c r="C9" i="4"/>
  <c r="B9" i="4"/>
  <c r="AB8" i="4"/>
  <c r="AA8" i="4"/>
  <c r="Z8" i="4"/>
  <c r="X8" i="4"/>
  <c r="W8" i="4"/>
  <c r="V8" i="4"/>
  <c r="T8" i="4"/>
  <c r="S8" i="4"/>
  <c r="R8" i="4"/>
  <c r="D8" i="4"/>
  <c r="C8" i="4"/>
  <c r="B8" i="4"/>
  <c r="AB7" i="4"/>
  <c r="AA7" i="4"/>
  <c r="Z7" i="4"/>
  <c r="X7" i="4"/>
  <c r="W7" i="4"/>
  <c r="V7" i="4"/>
  <c r="T7" i="4"/>
  <c r="S7" i="4"/>
  <c r="R7" i="4"/>
  <c r="D7" i="4"/>
  <c r="C7" i="4"/>
  <c r="B7" i="4"/>
  <c r="AB6" i="4"/>
  <c r="AA6" i="4"/>
  <c r="Z6" i="4"/>
  <c r="X6" i="4"/>
  <c r="W6" i="4"/>
  <c r="V6" i="4"/>
  <c r="T6" i="4"/>
  <c r="S6" i="4"/>
  <c r="R6" i="4"/>
  <c r="D6" i="4"/>
  <c r="C6" i="4"/>
  <c r="B6" i="4"/>
  <c r="AB5" i="4"/>
  <c r="AA5" i="4"/>
  <c r="Z5" i="4"/>
  <c r="X5" i="4"/>
  <c r="W5" i="4"/>
  <c r="V5" i="4"/>
  <c r="T5" i="4"/>
  <c r="S5" i="4"/>
  <c r="R5" i="4"/>
  <c r="D5" i="4"/>
  <c r="C5" i="4"/>
  <c r="B5" i="4"/>
  <c r="AB4" i="4"/>
  <c r="AA4" i="4"/>
  <c r="Z4" i="4"/>
  <c r="X4" i="4"/>
  <c r="W4" i="4"/>
  <c r="V4" i="4"/>
  <c r="T4" i="4"/>
  <c r="S4" i="4"/>
  <c r="R4" i="4"/>
  <c r="D4" i="4"/>
  <c r="C4" i="4"/>
  <c r="B4" i="4"/>
  <c r="AB3" i="4"/>
  <c r="AA3" i="4"/>
  <c r="Z3" i="4"/>
  <c r="X3" i="4"/>
  <c r="W3" i="4"/>
  <c r="V3" i="4"/>
  <c r="T3" i="4"/>
  <c r="S3" i="4"/>
  <c r="R3" i="4"/>
  <c r="D3" i="4"/>
  <c r="C3" i="4"/>
  <c r="B3" i="4"/>
  <c r="F215" i="3"/>
  <c r="E215" i="3"/>
  <c r="F214" i="3"/>
  <c r="E214" i="3"/>
  <c r="C214" i="3"/>
  <c r="B214" i="3"/>
  <c r="F213" i="3"/>
  <c r="E213" i="3"/>
  <c r="C213" i="3"/>
  <c r="B213" i="3"/>
  <c r="F212" i="3"/>
  <c r="E212" i="3"/>
  <c r="C212" i="3"/>
  <c r="B212" i="3"/>
  <c r="F211" i="3"/>
  <c r="E211" i="3"/>
  <c r="C211" i="3"/>
  <c r="B211" i="3"/>
  <c r="F210" i="3"/>
  <c r="E210" i="3"/>
  <c r="C210" i="3"/>
  <c r="B210" i="3"/>
  <c r="F209" i="3"/>
  <c r="E209" i="3"/>
  <c r="C209" i="3"/>
  <c r="B209" i="3"/>
  <c r="F208" i="3"/>
  <c r="E208" i="3"/>
  <c r="C208" i="3"/>
  <c r="B208" i="3"/>
  <c r="F207" i="3"/>
  <c r="E207" i="3"/>
  <c r="C207" i="3"/>
  <c r="B207" i="3"/>
  <c r="F206" i="3"/>
  <c r="E206" i="3"/>
  <c r="C206" i="3"/>
  <c r="B206" i="3"/>
  <c r="F205" i="3"/>
  <c r="E205" i="3"/>
  <c r="C205" i="3"/>
  <c r="B205" i="3"/>
  <c r="F204" i="3"/>
  <c r="E204" i="3"/>
  <c r="C204" i="3"/>
  <c r="B204" i="3"/>
  <c r="F203" i="3"/>
  <c r="E203" i="3"/>
  <c r="C203" i="3"/>
  <c r="B203" i="3"/>
  <c r="F202" i="3"/>
  <c r="E202" i="3"/>
  <c r="C202" i="3"/>
  <c r="B202" i="3"/>
  <c r="F201" i="3"/>
  <c r="E201" i="3"/>
  <c r="C201" i="3"/>
  <c r="B201" i="3"/>
  <c r="F200" i="3"/>
  <c r="E200" i="3"/>
  <c r="C200" i="3"/>
  <c r="B200" i="3"/>
  <c r="F199" i="3"/>
  <c r="E199" i="3"/>
  <c r="C199" i="3"/>
  <c r="B199" i="3"/>
  <c r="F198" i="3"/>
  <c r="E198" i="3"/>
  <c r="C198" i="3"/>
  <c r="B198" i="3"/>
  <c r="F197" i="3"/>
  <c r="E197" i="3"/>
  <c r="C197" i="3"/>
  <c r="B197" i="3"/>
  <c r="F196" i="3"/>
  <c r="E196" i="3"/>
  <c r="C196" i="3"/>
  <c r="B196" i="3"/>
  <c r="F195" i="3"/>
  <c r="E195" i="3"/>
  <c r="C195" i="3"/>
  <c r="B195" i="3"/>
  <c r="F194" i="3"/>
  <c r="E194" i="3"/>
  <c r="C194" i="3"/>
  <c r="B194" i="3"/>
  <c r="F193" i="3"/>
  <c r="E193" i="3"/>
  <c r="C193" i="3"/>
  <c r="B193" i="3"/>
  <c r="F192" i="3"/>
  <c r="E192" i="3"/>
  <c r="C192" i="3"/>
  <c r="B192" i="3"/>
  <c r="F191" i="3"/>
  <c r="E191" i="3"/>
  <c r="C191" i="3"/>
  <c r="B191" i="3"/>
  <c r="F190" i="3"/>
  <c r="E190" i="3"/>
  <c r="C190" i="3"/>
  <c r="B190" i="3"/>
  <c r="F189" i="3"/>
  <c r="E189" i="3"/>
  <c r="C189" i="3"/>
  <c r="B189" i="3"/>
  <c r="F188" i="3"/>
  <c r="E188" i="3"/>
  <c r="C188" i="3"/>
  <c r="B188" i="3"/>
  <c r="F187" i="3"/>
  <c r="E187" i="3"/>
  <c r="C187" i="3"/>
  <c r="E186" i="3"/>
  <c r="C186" i="3"/>
  <c r="E185" i="3"/>
  <c r="C185" i="3"/>
  <c r="E184" i="3"/>
  <c r="C184" i="3"/>
  <c r="E183" i="3"/>
  <c r="C183" i="3"/>
  <c r="E182" i="3"/>
  <c r="C182" i="3"/>
  <c r="E181" i="3"/>
  <c r="C181" i="3"/>
  <c r="E180" i="3"/>
  <c r="C180" i="3"/>
  <c r="E179" i="3"/>
  <c r="C179" i="3"/>
  <c r="E178" i="3"/>
  <c r="C178" i="3"/>
  <c r="E177" i="3"/>
  <c r="C177" i="3"/>
  <c r="E176" i="3"/>
  <c r="C176" i="3"/>
  <c r="E175" i="3"/>
  <c r="C175" i="3"/>
  <c r="E174" i="3"/>
  <c r="C174" i="3"/>
  <c r="E173" i="3"/>
  <c r="C173" i="3"/>
  <c r="E172" i="3"/>
  <c r="C172" i="3"/>
  <c r="E171" i="3"/>
  <c r="C171" i="3"/>
  <c r="E170" i="3"/>
  <c r="C170" i="3"/>
  <c r="E169" i="3"/>
  <c r="C169" i="3"/>
  <c r="E168" i="3"/>
  <c r="C168" i="3"/>
  <c r="E167" i="3"/>
  <c r="C167" i="3"/>
  <c r="E166" i="3"/>
  <c r="C166" i="3"/>
  <c r="E165" i="3"/>
  <c r="C165" i="3"/>
  <c r="E164" i="3"/>
  <c r="C164" i="3"/>
  <c r="F162" i="3"/>
  <c r="E162" i="3"/>
  <c r="F161" i="3"/>
  <c r="E161" i="3"/>
  <c r="C161" i="3"/>
  <c r="B161" i="3"/>
  <c r="F160" i="3"/>
  <c r="E160" i="3"/>
  <c r="C160" i="3"/>
  <c r="B160" i="3"/>
  <c r="F159" i="3"/>
  <c r="E159" i="3"/>
  <c r="C159" i="3"/>
  <c r="B159" i="3"/>
  <c r="F158" i="3"/>
  <c r="E158" i="3"/>
  <c r="C158" i="3"/>
  <c r="B158" i="3"/>
  <c r="F157" i="3"/>
  <c r="E157" i="3"/>
  <c r="C157" i="3"/>
  <c r="B157" i="3"/>
  <c r="F156" i="3"/>
  <c r="E156" i="3"/>
  <c r="C156" i="3"/>
  <c r="B156" i="3"/>
  <c r="F155" i="3"/>
  <c r="E155" i="3"/>
  <c r="C155" i="3"/>
  <c r="B155" i="3"/>
  <c r="F154" i="3"/>
  <c r="E154" i="3"/>
  <c r="C154" i="3"/>
  <c r="B154" i="3"/>
  <c r="F153" i="3"/>
  <c r="E153" i="3"/>
  <c r="C153" i="3"/>
  <c r="B153" i="3"/>
  <c r="F152" i="3"/>
  <c r="E152" i="3"/>
  <c r="C152" i="3"/>
  <c r="B152" i="3"/>
  <c r="F151" i="3"/>
  <c r="E151" i="3"/>
  <c r="C151" i="3"/>
  <c r="B151" i="3"/>
  <c r="F150" i="3"/>
  <c r="E150" i="3"/>
  <c r="C150" i="3"/>
  <c r="B150" i="3"/>
  <c r="F149" i="3"/>
  <c r="E149" i="3"/>
  <c r="C149" i="3"/>
  <c r="B149" i="3"/>
  <c r="F148" i="3"/>
  <c r="E148" i="3"/>
  <c r="C148" i="3"/>
  <c r="B148" i="3"/>
  <c r="F147" i="3"/>
  <c r="E147" i="3"/>
  <c r="C147" i="3"/>
  <c r="B147" i="3"/>
  <c r="F146" i="3"/>
  <c r="E146" i="3"/>
  <c r="C146" i="3"/>
  <c r="B146" i="3"/>
  <c r="F145" i="3"/>
  <c r="E145" i="3"/>
  <c r="C145" i="3"/>
  <c r="B145" i="3"/>
  <c r="F144" i="3"/>
  <c r="E144" i="3"/>
  <c r="C144" i="3"/>
  <c r="B144" i="3"/>
  <c r="F143" i="3"/>
  <c r="E143" i="3"/>
  <c r="C143" i="3"/>
  <c r="B143" i="3"/>
  <c r="F142" i="3"/>
  <c r="E142" i="3"/>
  <c r="C142" i="3"/>
  <c r="B142" i="3"/>
  <c r="F141" i="3"/>
  <c r="E141" i="3"/>
  <c r="C141" i="3"/>
  <c r="B141" i="3"/>
  <c r="F140" i="3"/>
  <c r="E140" i="3"/>
  <c r="C140" i="3"/>
  <c r="B140" i="3"/>
  <c r="F139" i="3"/>
  <c r="E139" i="3"/>
  <c r="C139" i="3"/>
  <c r="B139" i="3"/>
  <c r="F138" i="3"/>
  <c r="E138" i="3"/>
  <c r="C138" i="3"/>
  <c r="B138" i="3"/>
  <c r="F137" i="3"/>
  <c r="E137" i="3"/>
  <c r="C137" i="3"/>
  <c r="B137" i="3"/>
  <c r="F136" i="3"/>
  <c r="E136" i="3"/>
  <c r="C136" i="3"/>
  <c r="B136" i="3"/>
  <c r="F135" i="3"/>
  <c r="E135" i="3"/>
  <c r="C135" i="3"/>
  <c r="B135" i="3"/>
  <c r="F134" i="3"/>
  <c r="E134" i="3"/>
  <c r="C134" i="3"/>
  <c r="E133" i="3"/>
  <c r="C133" i="3"/>
  <c r="E132" i="3"/>
  <c r="C132" i="3"/>
  <c r="E131" i="3"/>
  <c r="C131" i="3"/>
  <c r="E130" i="3"/>
  <c r="C130" i="3"/>
  <c r="E129" i="3"/>
  <c r="C129" i="3"/>
  <c r="E128" i="3"/>
  <c r="C128" i="3"/>
  <c r="E127" i="3"/>
  <c r="C127" i="3"/>
  <c r="E126" i="3"/>
  <c r="C126" i="3"/>
  <c r="E125" i="3"/>
  <c r="C125" i="3"/>
  <c r="E124" i="3"/>
  <c r="C124" i="3"/>
  <c r="E123" i="3"/>
  <c r="C123" i="3"/>
  <c r="E122" i="3"/>
  <c r="C122" i="3"/>
  <c r="E121" i="3"/>
  <c r="C121" i="3"/>
  <c r="E120" i="3"/>
  <c r="C120" i="3"/>
  <c r="E119" i="3"/>
  <c r="C119" i="3"/>
  <c r="E118" i="3"/>
  <c r="C118" i="3"/>
  <c r="E117" i="3"/>
  <c r="C117" i="3"/>
  <c r="E116" i="3"/>
  <c r="C116" i="3"/>
  <c r="E115" i="3"/>
  <c r="C115" i="3"/>
  <c r="E114" i="3"/>
  <c r="C114" i="3"/>
  <c r="E113" i="3"/>
  <c r="C113" i="3"/>
  <c r="E112" i="3"/>
  <c r="C112" i="3"/>
  <c r="E111" i="3"/>
  <c r="C111" i="3"/>
  <c r="F109" i="3"/>
  <c r="F108" i="3"/>
  <c r="C108" i="3"/>
  <c r="B108" i="3"/>
  <c r="F107" i="3"/>
  <c r="C107" i="3"/>
  <c r="B107" i="3"/>
  <c r="F106" i="3"/>
  <c r="C106" i="3"/>
  <c r="B106" i="3"/>
  <c r="F105" i="3"/>
  <c r="C105" i="3"/>
  <c r="B105" i="3"/>
  <c r="F104" i="3"/>
  <c r="C104" i="3"/>
  <c r="B104" i="3"/>
  <c r="F103" i="3"/>
  <c r="C103" i="3"/>
  <c r="B103" i="3"/>
  <c r="F102" i="3"/>
  <c r="C102" i="3"/>
  <c r="B102" i="3"/>
  <c r="F101" i="3"/>
  <c r="C101" i="3"/>
  <c r="B101" i="3"/>
  <c r="F100" i="3"/>
  <c r="C100" i="3"/>
  <c r="B100" i="3"/>
  <c r="F99" i="3"/>
  <c r="C99" i="3"/>
  <c r="B99" i="3"/>
  <c r="F98" i="3"/>
  <c r="C98" i="3"/>
  <c r="B98" i="3"/>
  <c r="F97" i="3"/>
  <c r="C97" i="3"/>
  <c r="B97" i="3"/>
  <c r="F96" i="3"/>
  <c r="C96" i="3"/>
  <c r="B96" i="3"/>
  <c r="F95" i="3"/>
  <c r="C95" i="3"/>
  <c r="B95" i="3"/>
  <c r="F94" i="3"/>
  <c r="C94" i="3"/>
  <c r="B94" i="3"/>
  <c r="F93" i="3"/>
  <c r="C93" i="3"/>
  <c r="B93" i="3"/>
  <c r="F92" i="3"/>
  <c r="C92" i="3"/>
  <c r="B92" i="3"/>
  <c r="F91" i="3"/>
  <c r="C91" i="3"/>
  <c r="B91" i="3"/>
  <c r="F90" i="3"/>
  <c r="C90" i="3"/>
  <c r="B90" i="3"/>
  <c r="F89" i="3"/>
  <c r="C89" i="3"/>
  <c r="B89" i="3"/>
  <c r="F88" i="3"/>
  <c r="C88" i="3"/>
  <c r="B88" i="3"/>
  <c r="F87" i="3"/>
  <c r="C87" i="3"/>
  <c r="B87" i="3"/>
  <c r="F86" i="3"/>
  <c r="C86" i="3"/>
  <c r="B86" i="3"/>
  <c r="F85" i="3"/>
  <c r="C85" i="3"/>
  <c r="B85" i="3"/>
  <c r="F84" i="3"/>
  <c r="C84" i="3"/>
  <c r="B84" i="3"/>
  <c r="F83" i="3"/>
  <c r="C83" i="3"/>
  <c r="B83" i="3"/>
  <c r="F82" i="3"/>
  <c r="C82" i="3"/>
  <c r="B82" i="3"/>
  <c r="G81" i="3"/>
  <c r="F81" i="3"/>
  <c r="E81" i="3"/>
  <c r="C81" i="3"/>
  <c r="E80" i="3"/>
  <c r="C80" i="3"/>
  <c r="E79" i="3"/>
  <c r="C79" i="3"/>
  <c r="E78" i="3"/>
  <c r="C78" i="3"/>
  <c r="E77" i="3"/>
  <c r="C77" i="3"/>
  <c r="E76" i="3"/>
  <c r="C76" i="3"/>
  <c r="E75" i="3"/>
  <c r="C75" i="3"/>
  <c r="E74" i="3"/>
  <c r="C74" i="3"/>
  <c r="E73" i="3"/>
  <c r="C73" i="3"/>
  <c r="E72" i="3"/>
  <c r="C72" i="3"/>
  <c r="E71" i="3"/>
  <c r="C71" i="3"/>
  <c r="E70" i="3"/>
  <c r="C70" i="3"/>
  <c r="E69" i="3"/>
  <c r="C69" i="3"/>
  <c r="E68" i="3"/>
  <c r="C68" i="3"/>
  <c r="E67" i="3"/>
  <c r="C67" i="3"/>
  <c r="E66" i="3"/>
  <c r="C66" i="3"/>
  <c r="E65" i="3"/>
  <c r="C65" i="3"/>
  <c r="E64" i="3"/>
  <c r="C64" i="3"/>
  <c r="E63" i="3"/>
  <c r="C63" i="3"/>
  <c r="E62" i="3"/>
  <c r="C62" i="3"/>
  <c r="E61" i="3"/>
  <c r="C61" i="3"/>
  <c r="E60" i="3"/>
  <c r="C60" i="3"/>
  <c r="E59" i="3"/>
  <c r="C59" i="3"/>
  <c r="E58" i="3"/>
  <c r="C58" i="3"/>
  <c r="P53" i="3"/>
  <c r="AB53" i="3" s="1"/>
  <c r="O53" i="3"/>
  <c r="AA53" i="3" s="1"/>
  <c r="N53" i="3"/>
  <c r="Z53" i="3" s="1"/>
  <c r="L53" i="3"/>
  <c r="X53" i="3" s="1"/>
  <c r="K53" i="3"/>
  <c r="W53" i="3" s="1"/>
  <c r="J53" i="3"/>
  <c r="V53" i="3" s="1"/>
  <c r="H53" i="3"/>
  <c r="T53" i="3" s="1"/>
  <c r="G53" i="3"/>
  <c r="S53" i="3" s="1"/>
  <c r="F53" i="3"/>
  <c r="R53" i="3" s="1"/>
  <c r="D53" i="3"/>
  <c r="C53" i="3"/>
  <c r="B53" i="3"/>
  <c r="D52" i="3"/>
  <c r="C52" i="3"/>
  <c r="B52" i="3"/>
  <c r="D51" i="3"/>
  <c r="C51" i="3"/>
  <c r="B51" i="3"/>
  <c r="D50" i="3"/>
  <c r="C50" i="3"/>
  <c r="B50" i="3"/>
  <c r="D49" i="3"/>
  <c r="C49" i="3"/>
  <c r="B49" i="3"/>
  <c r="D48" i="3"/>
  <c r="C48" i="3"/>
  <c r="B48" i="3"/>
  <c r="D47" i="3"/>
  <c r="C47" i="3"/>
  <c r="B47" i="3"/>
  <c r="D46" i="3"/>
  <c r="C46" i="3"/>
  <c r="B46" i="3"/>
  <c r="D45" i="3"/>
  <c r="C45" i="3"/>
  <c r="B45" i="3"/>
  <c r="D44" i="3"/>
  <c r="C44" i="3"/>
  <c r="B44" i="3"/>
  <c r="X43" i="3"/>
  <c r="W43" i="3"/>
  <c r="V43" i="3"/>
  <c r="L43" i="3"/>
  <c r="K43" i="3"/>
  <c r="J43" i="3"/>
  <c r="D43" i="3"/>
  <c r="C43" i="3"/>
  <c r="B43" i="3"/>
  <c r="X42" i="3"/>
  <c r="W42" i="3"/>
  <c r="V42" i="3"/>
  <c r="L42" i="3"/>
  <c r="K42" i="3"/>
  <c r="J42" i="3"/>
  <c r="D42" i="3"/>
  <c r="C42" i="3"/>
  <c r="B42" i="3"/>
  <c r="X41" i="3"/>
  <c r="W41" i="3"/>
  <c r="V41" i="3"/>
  <c r="L41" i="3"/>
  <c r="K41" i="3"/>
  <c r="J41" i="3"/>
  <c r="D41" i="3"/>
  <c r="C41" i="3"/>
  <c r="B41" i="3"/>
  <c r="X40" i="3"/>
  <c r="W40" i="3"/>
  <c r="V40" i="3"/>
  <c r="L40" i="3"/>
  <c r="K40" i="3"/>
  <c r="J40" i="3"/>
  <c r="D40" i="3"/>
  <c r="C40" i="3"/>
  <c r="B40" i="3"/>
  <c r="X39" i="3"/>
  <c r="W39" i="3"/>
  <c r="V39" i="3"/>
  <c r="L39" i="3"/>
  <c r="K39" i="3"/>
  <c r="J39" i="3"/>
  <c r="D39" i="3"/>
  <c r="C39" i="3"/>
  <c r="B39" i="3"/>
  <c r="X38" i="3"/>
  <c r="W38" i="3"/>
  <c r="V38" i="3"/>
  <c r="L38" i="3"/>
  <c r="K38" i="3"/>
  <c r="J38" i="3"/>
  <c r="D38" i="3"/>
  <c r="C38" i="3"/>
  <c r="B38" i="3"/>
  <c r="X37" i="3"/>
  <c r="W37" i="3"/>
  <c r="V37" i="3"/>
  <c r="L37" i="3"/>
  <c r="K37" i="3"/>
  <c r="J37" i="3"/>
  <c r="D37" i="3"/>
  <c r="C37" i="3"/>
  <c r="B37" i="3"/>
  <c r="X36" i="3"/>
  <c r="W36" i="3"/>
  <c r="V36" i="3"/>
  <c r="L36" i="3"/>
  <c r="K36" i="3"/>
  <c r="J36" i="3"/>
  <c r="D36" i="3"/>
  <c r="C36" i="3"/>
  <c r="B36" i="3"/>
  <c r="X35" i="3"/>
  <c r="W35" i="3"/>
  <c r="V35" i="3"/>
  <c r="L35" i="3"/>
  <c r="K35" i="3"/>
  <c r="J35" i="3"/>
  <c r="D35" i="3"/>
  <c r="C35" i="3"/>
  <c r="B35" i="3"/>
  <c r="X34" i="3"/>
  <c r="W34" i="3"/>
  <c r="V34" i="3"/>
  <c r="L34" i="3"/>
  <c r="K34" i="3"/>
  <c r="J34" i="3"/>
  <c r="D34" i="3"/>
  <c r="C34" i="3"/>
  <c r="B34" i="3"/>
  <c r="X33" i="3"/>
  <c r="W33" i="3"/>
  <c r="V33" i="3"/>
  <c r="T33" i="3"/>
  <c r="S33" i="3"/>
  <c r="R33" i="3"/>
  <c r="L33" i="3"/>
  <c r="K33" i="3"/>
  <c r="J33" i="3"/>
  <c r="H33" i="3"/>
  <c r="G33" i="3"/>
  <c r="F33" i="3"/>
  <c r="D33" i="3"/>
  <c r="C33" i="3"/>
  <c r="B33" i="3"/>
  <c r="X32" i="3"/>
  <c r="W32" i="3"/>
  <c r="V32" i="3"/>
  <c r="T32" i="3"/>
  <c r="S32" i="3"/>
  <c r="R32" i="3"/>
  <c r="L32" i="3"/>
  <c r="K32" i="3"/>
  <c r="J32" i="3"/>
  <c r="H32" i="3"/>
  <c r="G32" i="3"/>
  <c r="F32" i="3"/>
  <c r="D32" i="3"/>
  <c r="C32" i="3"/>
  <c r="B32" i="3"/>
  <c r="X31" i="3"/>
  <c r="W31" i="3"/>
  <c r="V31" i="3"/>
  <c r="T31" i="3"/>
  <c r="S31" i="3"/>
  <c r="R31" i="3"/>
  <c r="L31" i="3"/>
  <c r="K31" i="3"/>
  <c r="J31" i="3"/>
  <c r="H31" i="3"/>
  <c r="G31" i="3"/>
  <c r="F31" i="3"/>
  <c r="D31" i="3"/>
  <c r="C31" i="3"/>
  <c r="B31" i="3"/>
  <c r="X30" i="3"/>
  <c r="W30" i="3"/>
  <c r="V30" i="3"/>
  <c r="T30" i="3"/>
  <c r="S30" i="3"/>
  <c r="R30" i="3"/>
  <c r="L30" i="3"/>
  <c r="K30" i="3"/>
  <c r="J30" i="3"/>
  <c r="H30" i="3"/>
  <c r="G30" i="3"/>
  <c r="F30" i="3"/>
  <c r="D30" i="3"/>
  <c r="C30" i="3"/>
  <c r="B30" i="3"/>
  <c r="X29" i="3"/>
  <c r="W29" i="3"/>
  <c r="V29" i="3"/>
  <c r="T29" i="3"/>
  <c r="S29" i="3"/>
  <c r="R29" i="3"/>
  <c r="L29" i="3"/>
  <c r="K29" i="3"/>
  <c r="J29" i="3"/>
  <c r="H29" i="3"/>
  <c r="G29" i="3"/>
  <c r="F29" i="3"/>
  <c r="D29" i="3"/>
  <c r="C29" i="3"/>
  <c r="B29" i="3"/>
  <c r="X28" i="3"/>
  <c r="W28" i="3"/>
  <c r="V28" i="3"/>
  <c r="T28" i="3"/>
  <c r="S28" i="3"/>
  <c r="R28" i="3"/>
  <c r="L28" i="3"/>
  <c r="K28" i="3"/>
  <c r="J28" i="3"/>
  <c r="H28" i="3"/>
  <c r="G28" i="3"/>
  <c r="F28" i="3"/>
  <c r="D28" i="3"/>
  <c r="C28" i="3"/>
  <c r="B28" i="3"/>
  <c r="AB27" i="3"/>
  <c r="AA27" i="3"/>
  <c r="Z27" i="3"/>
  <c r="X27" i="3"/>
  <c r="W27" i="3"/>
  <c r="V27" i="3"/>
  <c r="T27" i="3"/>
  <c r="S27" i="3"/>
  <c r="R27" i="3"/>
  <c r="P27" i="3"/>
  <c r="O27" i="3"/>
  <c r="N27" i="3"/>
  <c r="L27" i="3"/>
  <c r="K27" i="3"/>
  <c r="J27" i="3"/>
  <c r="H27" i="3"/>
  <c r="G27" i="3"/>
  <c r="F27" i="3"/>
  <c r="D27" i="3"/>
  <c r="C27" i="3"/>
  <c r="B27" i="3"/>
  <c r="AB26" i="3"/>
  <c r="AA26" i="3"/>
  <c r="Z26" i="3"/>
  <c r="X26" i="3"/>
  <c r="W26" i="3"/>
  <c r="V26" i="3"/>
  <c r="T26" i="3"/>
  <c r="S26" i="3"/>
  <c r="R26" i="3"/>
  <c r="D26" i="3"/>
  <c r="C26" i="3"/>
  <c r="B26" i="3"/>
  <c r="AB25" i="3"/>
  <c r="AA25" i="3"/>
  <c r="Z25" i="3"/>
  <c r="X25" i="3"/>
  <c r="W25" i="3"/>
  <c r="V25" i="3"/>
  <c r="T25" i="3"/>
  <c r="S25" i="3"/>
  <c r="R25" i="3"/>
  <c r="D25" i="3"/>
  <c r="C25" i="3"/>
  <c r="B25" i="3"/>
  <c r="AB24" i="3"/>
  <c r="AA24" i="3"/>
  <c r="Z24" i="3"/>
  <c r="X24" i="3"/>
  <c r="W24" i="3"/>
  <c r="V24" i="3"/>
  <c r="T24" i="3"/>
  <c r="S24" i="3"/>
  <c r="R24" i="3"/>
  <c r="D24" i="3"/>
  <c r="C24" i="3"/>
  <c r="B24" i="3"/>
  <c r="AB23" i="3"/>
  <c r="AA23" i="3"/>
  <c r="Z23" i="3"/>
  <c r="X23" i="3"/>
  <c r="W23" i="3"/>
  <c r="V23" i="3"/>
  <c r="T23" i="3"/>
  <c r="S23" i="3"/>
  <c r="R23" i="3"/>
  <c r="D23" i="3"/>
  <c r="C23" i="3"/>
  <c r="B23" i="3"/>
  <c r="AB22" i="3"/>
  <c r="AA22" i="3"/>
  <c r="Z22" i="3"/>
  <c r="X22" i="3"/>
  <c r="W22" i="3"/>
  <c r="V22" i="3"/>
  <c r="T22" i="3"/>
  <c r="S22" i="3"/>
  <c r="R22" i="3"/>
  <c r="D22" i="3"/>
  <c r="C22" i="3"/>
  <c r="B22" i="3"/>
  <c r="AB21" i="3"/>
  <c r="AA21" i="3"/>
  <c r="Z21" i="3"/>
  <c r="X21" i="3"/>
  <c r="W21" i="3"/>
  <c r="V21" i="3"/>
  <c r="T21" i="3"/>
  <c r="S21" i="3"/>
  <c r="R21" i="3"/>
  <c r="D21" i="3"/>
  <c r="C21" i="3"/>
  <c r="B21" i="3"/>
  <c r="AB20" i="3"/>
  <c r="AA20" i="3"/>
  <c r="Z20" i="3"/>
  <c r="X20" i="3"/>
  <c r="W20" i="3"/>
  <c r="V20" i="3"/>
  <c r="T20" i="3"/>
  <c r="S20" i="3"/>
  <c r="R20" i="3"/>
  <c r="D20" i="3"/>
  <c r="C20" i="3"/>
  <c r="B20" i="3"/>
  <c r="AB19" i="3"/>
  <c r="AA19" i="3"/>
  <c r="Z19" i="3"/>
  <c r="X19" i="3"/>
  <c r="W19" i="3"/>
  <c r="V19" i="3"/>
  <c r="T19" i="3"/>
  <c r="S19" i="3"/>
  <c r="R19" i="3"/>
  <c r="D19" i="3"/>
  <c r="C19" i="3"/>
  <c r="B19" i="3"/>
  <c r="AB18" i="3"/>
  <c r="AA18" i="3"/>
  <c r="Z18" i="3"/>
  <c r="X18" i="3"/>
  <c r="W18" i="3"/>
  <c r="V18" i="3"/>
  <c r="T18" i="3"/>
  <c r="S18" i="3"/>
  <c r="R18" i="3"/>
  <c r="D18" i="3"/>
  <c r="C18" i="3"/>
  <c r="B18" i="3"/>
  <c r="AB17" i="3"/>
  <c r="AA17" i="3"/>
  <c r="Z17" i="3"/>
  <c r="X17" i="3"/>
  <c r="W17" i="3"/>
  <c r="V17" i="3"/>
  <c r="T17" i="3"/>
  <c r="S17" i="3"/>
  <c r="R17" i="3"/>
  <c r="D17" i="3"/>
  <c r="C17" i="3"/>
  <c r="B17" i="3"/>
  <c r="AB16" i="3"/>
  <c r="AA16" i="3"/>
  <c r="Z16" i="3"/>
  <c r="X16" i="3"/>
  <c r="W16" i="3"/>
  <c r="V16" i="3"/>
  <c r="T16" i="3"/>
  <c r="S16" i="3"/>
  <c r="R16" i="3"/>
  <c r="D16" i="3"/>
  <c r="C16" i="3"/>
  <c r="B16" i="3"/>
  <c r="AB15" i="3"/>
  <c r="AA15" i="3"/>
  <c r="Z15" i="3"/>
  <c r="X15" i="3"/>
  <c r="W15" i="3"/>
  <c r="V15" i="3"/>
  <c r="T15" i="3"/>
  <c r="S15" i="3"/>
  <c r="R15" i="3"/>
  <c r="D15" i="3"/>
  <c r="C15" i="3"/>
  <c r="B15" i="3"/>
  <c r="AB14" i="3"/>
  <c r="AA14" i="3"/>
  <c r="Z14" i="3"/>
  <c r="X14" i="3"/>
  <c r="W14" i="3"/>
  <c r="V14" i="3"/>
  <c r="T14" i="3"/>
  <c r="S14" i="3"/>
  <c r="R14" i="3"/>
  <c r="D14" i="3"/>
  <c r="C14" i="3"/>
  <c r="B14" i="3"/>
  <c r="AB13" i="3"/>
  <c r="AA13" i="3"/>
  <c r="Z13" i="3"/>
  <c r="X13" i="3"/>
  <c r="W13" i="3"/>
  <c r="V13" i="3"/>
  <c r="T13" i="3"/>
  <c r="S13" i="3"/>
  <c r="R13" i="3"/>
  <c r="D13" i="3"/>
  <c r="C13" i="3"/>
  <c r="B13" i="3"/>
  <c r="AB12" i="3"/>
  <c r="AA12" i="3"/>
  <c r="Z12" i="3"/>
  <c r="X12" i="3"/>
  <c r="W12" i="3"/>
  <c r="V12" i="3"/>
  <c r="T12" i="3"/>
  <c r="S12" i="3"/>
  <c r="R12" i="3"/>
  <c r="D12" i="3"/>
  <c r="C12" i="3"/>
  <c r="B12" i="3"/>
  <c r="AB11" i="3"/>
  <c r="AA11" i="3"/>
  <c r="Z11" i="3"/>
  <c r="X11" i="3"/>
  <c r="W11" i="3"/>
  <c r="V11" i="3"/>
  <c r="T11" i="3"/>
  <c r="S11" i="3"/>
  <c r="R11" i="3"/>
  <c r="D11" i="3"/>
  <c r="C11" i="3"/>
  <c r="B11" i="3"/>
  <c r="AB10" i="3"/>
  <c r="AA10" i="3"/>
  <c r="Z10" i="3"/>
  <c r="X10" i="3"/>
  <c r="W10" i="3"/>
  <c r="V10" i="3"/>
  <c r="T10" i="3"/>
  <c r="S10" i="3"/>
  <c r="R10" i="3"/>
  <c r="D10" i="3"/>
  <c r="C10" i="3"/>
  <c r="B10" i="3"/>
  <c r="AB9" i="3"/>
  <c r="AA9" i="3"/>
  <c r="Z9" i="3"/>
  <c r="X9" i="3"/>
  <c r="W9" i="3"/>
  <c r="V9" i="3"/>
  <c r="T9" i="3"/>
  <c r="S9" i="3"/>
  <c r="R9" i="3"/>
  <c r="D9" i="3"/>
  <c r="C9" i="3"/>
  <c r="B9" i="3"/>
  <c r="AB8" i="3"/>
  <c r="AA8" i="3"/>
  <c r="Z8" i="3"/>
  <c r="X8" i="3"/>
  <c r="W8" i="3"/>
  <c r="V8" i="3"/>
  <c r="T8" i="3"/>
  <c r="S8" i="3"/>
  <c r="R8" i="3"/>
  <c r="D8" i="3"/>
  <c r="C8" i="3"/>
  <c r="B8" i="3"/>
  <c r="AB7" i="3"/>
  <c r="AA7" i="3"/>
  <c r="Z7" i="3"/>
  <c r="X7" i="3"/>
  <c r="W7" i="3"/>
  <c r="V7" i="3"/>
  <c r="T7" i="3"/>
  <c r="S7" i="3"/>
  <c r="R7" i="3"/>
  <c r="D7" i="3"/>
  <c r="C7" i="3"/>
  <c r="B7" i="3"/>
  <c r="AB6" i="3"/>
  <c r="AA6" i="3"/>
  <c r="Z6" i="3"/>
  <c r="X6" i="3"/>
  <c r="W6" i="3"/>
  <c r="V6" i="3"/>
  <c r="T6" i="3"/>
  <c r="S6" i="3"/>
  <c r="R6" i="3"/>
  <c r="D6" i="3"/>
  <c r="C6" i="3"/>
  <c r="B6" i="3"/>
  <c r="AB5" i="3"/>
  <c r="AA5" i="3"/>
  <c r="Z5" i="3"/>
  <c r="X5" i="3"/>
  <c r="W5" i="3"/>
  <c r="V5" i="3"/>
  <c r="T5" i="3"/>
  <c r="S5" i="3"/>
  <c r="R5" i="3"/>
  <c r="D5" i="3"/>
  <c r="C5" i="3"/>
  <c r="B5" i="3"/>
  <c r="AB4" i="3"/>
  <c r="AA4" i="3"/>
  <c r="Z4" i="3"/>
  <c r="X4" i="3"/>
  <c r="W4" i="3"/>
  <c r="V4" i="3"/>
  <c r="T4" i="3"/>
  <c r="S4" i="3"/>
  <c r="R4" i="3"/>
  <c r="D4" i="3"/>
  <c r="C4" i="3"/>
  <c r="B4" i="3"/>
  <c r="AB3" i="3"/>
  <c r="AA3" i="3"/>
  <c r="Z3" i="3"/>
  <c r="X3" i="3"/>
  <c r="W3" i="3"/>
  <c r="V3" i="3"/>
  <c r="T3" i="3"/>
  <c r="S3" i="3"/>
  <c r="R3" i="3"/>
  <c r="D3" i="3"/>
  <c r="C3" i="3"/>
  <c r="B3" i="3"/>
  <c r="D261" i="18"/>
  <c r="C261" i="18"/>
  <c r="B261" i="18"/>
  <c r="U260" i="18"/>
  <c r="T260" i="18"/>
  <c r="G260" i="18"/>
  <c r="F260" i="18"/>
  <c r="E260" i="18"/>
  <c r="D260" i="18"/>
  <c r="C260" i="18"/>
  <c r="B260" i="18"/>
  <c r="U259" i="18"/>
  <c r="T259" i="18"/>
  <c r="G259" i="18"/>
  <c r="F259" i="18"/>
  <c r="E259" i="18"/>
  <c r="D259" i="18"/>
  <c r="C259" i="18"/>
  <c r="B259" i="18"/>
  <c r="U258" i="18"/>
  <c r="T258" i="18"/>
  <c r="G258" i="18"/>
  <c r="F258" i="18"/>
  <c r="E258" i="18"/>
  <c r="D258" i="18"/>
  <c r="C258" i="18"/>
  <c r="B258" i="18"/>
  <c r="U257" i="18"/>
  <c r="T257" i="18"/>
  <c r="G257" i="18"/>
  <c r="F257" i="18"/>
  <c r="E257" i="18"/>
  <c r="D257" i="18"/>
  <c r="C257" i="18"/>
  <c r="B257" i="18"/>
  <c r="U256" i="18"/>
  <c r="T256" i="18"/>
  <c r="G256" i="18"/>
  <c r="F256" i="18"/>
  <c r="E256" i="18"/>
  <c r="D256" i="18"/>
  <c r="C256" i="18"/>
  <c r="B256" i="18"/>
  <c r="U255" i="18"/>
  <c r="T255" i="18"/>
  <c r="G255" i="18"/>
  <c r="F255" i="18"/>
  <c r="E255" i="18"/>
  <c r="D255" i="18"/>
  <c r="C255" i="18"/>
  <c r="B255" i="18"/>
  <c r="U254" i="18"/>
  <c r="T254" i="18"/>
  <c r="G254" i="18"/>
  <c r="F254" i="18"/>
  <c r="E254" i="18"/>
  <c r="D254" i="18"/>
  <c r="C254" i="18"/>
  <c r="B254" i="18"/>
  <c r="U253" i="18"/>
  <c r="T253" i="18"/>
  <c r="G253" i="18"/>
  <c r="F253" i="18"/>
  <c r="E253" i="18"/>
  <c r="D253" i="18"/>
  <c r="C253" i="18"/>
  <c r="B253" i="18"/>
  <c r="U252" i="18"/>
  <c r="T252" i="18"/>
  <c r="G252" i="18"/>
  <c r="F252" i="18"/>
  <c r="E252" i="18"/>
  <c r="D252" i="18"/>
  <c r="C252" i="18"/>
  <c r="B252" i="18"/>
  <c r="U251" i="18"/>
  <c r="T251" i="18"/>
  <c r="G251" i="18"/>
  <c r="F251" i="18"/>
  <c r="E251" i="18"/>
  <c r="D251" i="18"/>
  <c r="C251" i="18"/>
  <c r="B251" i="18"/>
  <c r="U250" i="18"/>
  <c r="T250" i="18"/>
  <c r="G250" i="18"/>
  <c r="F250" i="18"/>
  <c r="E250" i="18"/>
  <c r="D250" i="18"/>
  <c r="C250" i="18"/>
  <c r="B250" i="18"/>
  <c r="U249" i="18"/>
  <c r="T249" i="18"/>
  <c r="G249" i="18"/>
  <c r="F249" i="18"/>
  <c r="E249" i="18"/>
  <c r="D249" i="18"/>
  <c r="C249" i="18"/>
  <c r="B249" i="18"/>
  <c r="U248" i="18"/>
  <c r="T248" i="18"/>
  <c r="G248" i="18"/>
  <c r="F248" i="18"/>
  <c r="E248" i="18"/>
  <c r="D248" i="18"/>
  <c r="C248" i="18"/>
  <c r="B248" i="18"/>
  <c r="U247" i="18"/>
  <c r="T247" i="18"/>
  <c r="G247" i="18"/>
  <c r="F247" i="18"/>
  <c r="E247" i="18"/>
  <c r="D247" i="18"/>
  <c r="C247" i="18"/>
  <c r="B247" i="18"/>
  <c r="U246" i="18"/>
  <c r="T246" i="18"/>
  <c r="G246" i="18"/>
  <c r="F246" i="18"/>
  <c r="E246" i="18"/>
  <c r="D246" i="18"/>
  <c r="C246" i="18"/>
  <c r="B246" i="18"/>
  <c r="U245" i="18"/>
  <c r="T245" i="18"/>
  <c r="G245" i="18"/>
  <c r="F245" i="18"/>
  <c r="E245" i="18"/>
  <c r="D245" i="18"/>
  <c r="C245" i="18"/>
  <c r="B245" i="18"/>
  <c r="U244" i="18"/>
  <c r="T244" i="18"/>
  <c r="G244" i="18"/>
  <c r="F244" i="18"/>
  <c r="E244" i="18"/>
  <c r="D244" i="18"/>
  <c r="C244" i="18"/>
  <c r="B244" i="18"/>
  <c r="U243" i="18"/>
  <c r="T243" i="18"/>
  <c r="G243" i="18"/>
  <c r="F243" i="18"/>
  <c r="E243" i="18"/>
  <c r="D243" i="18"/>
  <c r="C243" i="18"/>
  <c r="B243" i="18"/>
  <c r="U242" i="18"/>
  <c r="T242" i="18"/>
  <c r="G242" i="18"/>
  <c r="F242" i="18"/>
  <c r="E242" i="18"/>
  <c r="D242" i="18"/>
  <c r="C242" i="18"/>
  <c r="B242" i="18"/>
  <c r="U241" i="18"/>
  <c r="T241" i="18"/>
  <c r="G241" i="18"/>
  <c r="F241" i="18"/>
  <c r="E241" i="18"/>
  <c r="D241" i="18"/>
  <c r="C241" i="18"/>
  <c r="B241" i="18"/>
  <c r="U240" i="18"/>
  <c r="T240" i="18"/>
  <c r="G240" i="18"/>
  <c r="F240" i="18"/>
  <c r="E240" i="18"/>
  <c r="D240" i="18"/>
  <c r="C240" i="18"/>
  <c r="B240" i="18"/>
  <c r="U239" i="18"/>
  <c r="T239" i="18"/>
  <c r="G239" i="18"/>
  <c r="F239" i="18"/>
  <c r="E239" i="18"/>
  <c r="D239" i="18"/>
  <c r="C239" i="18"/>
  <c r="B239" i="18"/>
  <c r="U238" i="18"/>
  <c r="T238" i="18"/>
  <c r="G238" i="18"/>
  <c r="F238" i="18"/>
  <c r="E238" i="18"/>
  <c r="D238" i="18"/>
  <c r="C238" i="18"/>
  <c r="B238" i="18"/>
  <c r="U237" i="18"/>
  <c r="T237" i="18"/>
  <c r="G237" i="18"/>
  <c r="F237" i="18"/>
  <c r="E237" i="18"/>
  <c r="D237" i="18"/>
  <c r="C237" i="18"/>
  <c r="B237" i="18"/>
  <c r="U236" i="18"/>
  <c r="T236" i="18"/>
  <c r="G236" i="18"/>
  <c r="F236" i="18"/>
  <c r="E236" i="18"/>
  <c r="D236" i="18"/>
  <c r="C236" i="18"/>
  <c r="B236" i="18"/>
  <c r="F187" i="18"/>
  <c r="E187" i="18"/>
  <c r="D187" i="18"/>
  <c r="C187" i="18"/>
  <c r="B187" i="18"/>
  <c r="F186" i="18"/>
  <c r="E186" i="18"/>
  <c r="D186" i="18"/>
  <c r="C186" i="18"/>
  <c r="B186" i="18"/>
  <c r="F185" i="18"/>
  <c r="E185" i="18"/>
  <c r="D185" i="18"/>
  <c r="C185" i="18"/>
  <c r="B185" i="18"/>
  <c r="F184" i="18"/>
  <c r="E184" i="18"/>
  <c r="D184" i="18"/>
  <c r="C184" i="18"/>
  <c r="B184" i="18"/>
  <c r="F183" i="18"/>
  <c r="E183" i="18"/>
  <c r="D183" i="18"/>
  <c r="C183" i="18"/>
  <c r="B183" i="18"/>
  <c r="F182" i="18"/>
  <c r="E182" i="18"/>
  <c r="D182" i="18"/>
  <c r="C182" i="18"/>
  <c r="B182" i="18"/>
  <c r="F181" i="18"/>
  <c r="E181" i="18"/>
  <c r="D181" i="18"/>
  <c r="C181" i="18"/>
  <c r="B181" i="18"/>
  <c r="F180" i="18"/>
  <c r="E180" i="18"/>
  <c r="D180" i="18"/>
  <c r="C180" i="18"/>
  <c r="B180" i="18"/>
  <c r="F179" i="18"/>
  <c r="E179" i="18"/>
  <c r="D179" i="18"/>
  <c r="C179" i="18"/>
  <c r="B179" i="18"/>
  <c r="F178" i="18"/>
  <c r="E178" i="18"/>
  <c r="D178" i="18"/>
  <c r="C178" i="18"/>
  <c r="B178" i="18"/>
  <c r="F177" i="18"/>
  <c r="E177" i="18"/>
  <c r="D177" i="18"/>
  <c r="C177" i="18"/>
  <c r="B177" i="18"/>
  <c r="F176" i="18"/>
  <c r="E176" i="18"/>
  <c r="D176" i="18"/>
  <c r="C176" i="18"/>
  <c r="B176" i="18"/>
  <c r="F175" i="18"/>
  <c r="E175" i="18"/>
  <c r="D175" i="18"/>
  <c r="C175" i="18"/>
  <c r="B175" i="18"/>
  <c r="F174" i="18"/>
  <c r="E174" i="18"/>
  <c r="D174" i="18"/>
  <c r="C174" i="18"/>
  <c r="B174" i="18"/>
  <c r="F173" i="18"/>
  <c r="E173" i="18"/>
  <c r="D173" i="18"/>
  <c r="C173" i="18"/>
  <c r="B173" i="18"/>
  <c r="F172" i="18"/>
  <c r="E172" i="18"/>
  <c r="D172" i="18"/>
  <c r="C172" i="18"/>
  <c r="B172" i="18"/>
  <c r="F171" i="18"/>
  <c r="E171" i="18"/>
  <c r="D171" i="18"/>
  <c r="C171" i="18"/>
  <c r="B171" i="18"/>
  <c r="F170" i="18"/>
  <c r="E170" i="18"/>
  <c r="D170" i="18"/>
  <c r="C170" i="18"/>
  <c r="B170" i="18"/>
  <c r="F169" i="18"/>
  <c r="E169" i="18"/>
  <c r="D169" i="18"/>
  <c r="C169" i="18"/>
  <c r="B169" i="18"/>
  <c r="F168" i="18"/>
  <c r="E168" i="18"/>
  <c r="D168" i="18"/>
  <c r="C168" i="18"/>
  <c r="B168" i="18"/>
  <c r="F167" i="18"/>
  <c r="E167" i="18"/>
  <c r="D167" i="18"/>
  <c r="C167" i="18"/>
  <c r="B167" i="18"/>
  <c r="F166" i="18"/>
  <c r="E166" i="18"/>
  <c r="D166" i="18"/>
  <c r="C166" i="18"/>
  <c r="B166" i="18"/>
  <c r="F165" i="18"/>
  <c r="E165" i="18"/>
  <c r="D165" i="18"/>
  <c r="C165" i="18"/>
  <c r="B165" i="18"/>
  <c r="F164" i="18"/>
  <c r="E164" i="18"/>
  <c r="D164" i="18"/>
  <c r="C164" i="18"/>
  <c r="B164" i="18"/>
  <c r="F163" i="18"/>
  <c r="E163" i="18"/>
  <c r="D163" i="18"/>
  <c r="C163" i="18"/>
  <c r="B163" i="18"/>
  <c r="B159" i="18"/>
  <c r="B158" i="18"/>
  <c r="B157" i="18"/>
  <c r="B156" i="18"/>
  <c r="B155" i="18"/>
  <c r="B154" i="18"/>
  <c r="B153" i="18"/>
  <c r="B152" i="18"/>
  <c r="B151" i="18"/>
  <c r="B150" i="18"/>
  <c r="B149" i="18"/>
  <c r="B148" i="18"/>
  <c r="B147" i="18"/>
  <c r="B146" i="18"/>
  <c r="B145" i="18"/>
  <c r="B144" i="18"/>
  <c r="B143" i="18"/>
  <c r="B142" i="18"/>
  <c r="B141" i="18"/>
  <c r="B140" i="18"/>
  <c r="B139" i="18"/>
  <c r="B138" i="18"/>
  <c r="B137" i="18"/>
  <c r="B136" i="18"/>
  <c r="B135" i="18"/>
  <c r="D131" i="18"/>
  <c r="D130" i="18"/>
  <c r="D129" i="18"/>
  <c r="D128" i="18"/>
  <c r="D127" i="18"/>
  <c r="D126" i="18"/>
  <c r="D125" i="18"/>
  <c r="D124" i="18"/>
  <c r="D123" i="18"/>
  <c r="D122" i="18"/>
  <c r="D121" i="18"/>
  <c r="D120" i="18"/>
  <c r="D119" i="18"/>
  <c r="D118" i="18"/>
  <c r="D117" i="18"/>
  <c r="D116" i="18"/>
  <c r="D115" i="18"/>
  <c r="D114" i="18"/>
  <c r="D113" i="18"/>
  <c r="D112" i="18"/>
  <c r="D111" i="18"/>
  <c r="D110" i="18"/>
  <c r="D109" i="18"/>
  <c r="D108" i="18"/>
  <c r="D107" i="18"/>
  <c r="B103" i="18"/>
  <c r="U261" i="17"/>
  <c r="T261" i="17"/>
  <c r="G261" i="17"/>
  <c r="F261" i="17"/>
  <c r="E261" i="17"/>
  <c r="D261" i="17"/>
  <c r="C261" i="17"/>
  <c r="B261" i="17"/>
  <c r="U260" i="17"/>
  <c r="T260" i="17"/>
  <c r="G260" i="17"/>
  <c r="F260" i="17"/>
  <c r="E260" i="17"/>
  <c r="D260" i="17"/>
  <c r="C260" i="17"/>
  <c r="B260" i="17"/>
  <c r="U259" i="17"/>
  <c r="T259" i="17"/>
  <c r="G259" i="17"/>
  <c r="F259" i="17"/>
  <c r="E259" i="17"/>
  <c r="D259" i="17"/>
  <c r="C259" i="17"/>
  <c r="B259" i="17"/>
  <c r="U258" i="17"/>
  <c r="T258" i="17"/>
  <c r="G258" i="17"/>
  <c r="F258" i="17"/>
  <c r="E258" i="17"/>
  <c r="D258" i="17"/>
  <c r="C258" i="17"/>
  <c r="B258" i="17"/>
  <c r="U257" i="17"/>
  <c r="T257" i="17"/>
  <c r="G257" i="17"/>
  <c r="F257" i="17"/>
  <c r="E257" i="17"/>
  <c r="D257" i="17"/>
  <c r="C257" i="17"/>
  <c r="B257" i="17"/>
  <c r="U256" i="17"/>
  <c r="T256" i="17"/>
  <c r="G256" i="17"/>
  <c r="F256" i="17"/>
  <c r="E256" i="17"/>
  <c r="D256" i="17"/>
  <c r="C256" i="17"/>
  <c r="B256" i="17"/>
  <c r="U255" i="17"/>
  <c r="T255" i="17"/>
  <c r="G255" i="17"/>
  <c r="F255" i="17"/>
  <c r="E255" i="17"/>
  <c r="D255" i="17"/>
  <c r="C255" i="17"/>
  <c r="B255" i="17"/>
  <c r="U254" i="17"/>
  <c r="T254" i="17"/>
  <c r="G254" i="17"/>
  <c r="F254" i="17"/>
  <c r="E254" i="17"/>
  <c r="D254" i="17"/>
  <c r="C254" i="17"/>
  <c r="B254" i="17"/>
  <c r="U253" i="17"/>
  <c r="T253" i="17"/>
  <c r="G253" i="17"/>
  <c r="F253" i="17"/>
  <c r="E253" i="17"/>
  <c r="D253" i="17"/>
  <c r="C253" i="17"/>
  <c r="B253" i="17"/>
  <c r="U252" i="17"/>
  <c r="T252" i="17"/>
  <c r="G252" i="17"/>
  <c r="F252" i="17"/>
  <c r="E252" i="17"/>
  <c r="D252" i="17"/>
  <c r="C252" i="17"/>
  <c r="B252" i="17"/>
  <c r="U251" i="17"/>
  <c r="T251" i="17"/>
  <c r="G251" i="17"/>
  <c r="F251" i="17"/>
  <c r="E251" i="17"/>
  <c r="D251" i="17"/>
  <c r="C251" i="17"/>
  <c r="B251" i="17"/>
  <c r="U250" i="17"/>
  <c r="T250" i="17"/>
  <c r="G250" i="17"/>
  <c r="F250" i="17"/>
  <c r="E250" i="17"/>
  <c r="D250" i="17"/>
  <c r="C250" i="17"/>
  <c r="B250" i="17"/>
  <c r="U249" i="17"/>
  <c r="T249" i="17"/>
  <c r="G249" i="17"/>
  <c r="F249" i="17"/>
  <c r="E249" i="17"/>
  <c r="D249" i="17"/>
  <c r="C249" i="17"/>
  <c r="B249" i="17"/>
  <c r="U248" i="17"/>
  <c r="T248" i="17"/>
  <c r="G248" i="17"/>
  <c r="F248" i="17"/>
  <c r="E248" i="17"/>
  <c r="D248" i="17"/>
  <c r="C248" i="17"/>
  <c r="B248" i="17"/>
  <c r="U247" i="17"/>
  <c r="T247" i="17"/>
  <c r="G247" i="17"/>
  <c r="F247" i="17"/>
  <c r="E247" i="17"/>
  <c r="D247" i="17"/>
  <c r="C247" i="17"/>
  <c r="B247" i="17"/>
  <c r="U246" i="17"/>
  <c r="T246" i="17"/>
  <c r="G246" i="17"/>
  <c r="F246" i="17"/>
  <c r="E246" i="17"/>
  <c r="D246" i="17"/>
  <c r="C246" i="17"/>
  <c r="B246" i="17"/>
  <c r="U245" i="17"/>
  <c r="T245" i="17"/>
  <c r="G245" i="17"/>
  <c r="F245" i="17"/>
  <c r="E245" i="17"/>
  <c r="D245" i="17"/>
  <c r="C245" i="17"/>
  <c r="B245" i="17"/>
  <c r="U244" i="17"/>
  <c r="T244" i="17"/>
  <c r="G244" i="17"/>
  <c r="F244" i="17"/>
  <c r="E244" i="17"/>
  <c r="D244" i="17"/>
  <c r="C244" i="17"/>
  <c r="B244" i="17"/>
  <c r="U243" i="17"/>
  <c r="T243" i="17"/>
  <c r="G243" i="17"/>
  <c r="F243" i="17"/>
  <c r="E243" i="17"/>
  <c r="D243" i="17"/>
  <c r="C243" i="17"/>
  <c r="B243" i="17"/>
  <c r="U242" i="17"/>
  <c r="T242" i="17"/>
  <c r="G242" i="17"/>
  <c r="F242" i="17"/>
  <c r="E242" i="17"/>
  <c r="D242" i="17"/>
  <c r="C242" i="17"/>
  <c r="B242" i="17"/>
  <c r="U241" i="17"/>
  <c r="T241" i="17"/>
  <c r="G241" i="17"/>
  <c r="F241" i="17"/>
  <c r="E241" i="17"/>
  <c r="D241" i="17"/>
  <c r="C241" i="17"/>
  <c r="B241" i="17"/>
  <c r="U240" i="17"/>
  <c r="T240" i="17"/>
  <c r="G240" i="17"/>
  <c r="F240" i="17"/>
  <c r="E240" i="17"/>
  <c r="D240" i="17"/>
  <c r="C240" i="17"/>
  <c r="B240" i="17"/>
  <c r="U239" i="17"/>
  <c r="T239" i="17"/>
  <c r="G239" i="17"/>
  <c r="F239" i="17"/>
  <c r="E239" i="17"/>
  <c r="D239" i="17"/>
  <c r="C239" i="17"/>
  <c r="B239" i="17"/>
  <c r="U238" i="17"/>
  <c r="T238" i="17"/>
  <c r="G238" i="17"/>
  <c r="F238" i="17"/>
  <c r="E238" i="17"/>
  <c r="D238" i="17"/>
  <c r="C238" i="17"/>
  <c r="B238" i="17"/>
  <c r="U237" i="17"/>
  <c r="T237" i="17"/>
  <c r="G237" i="17"/>
  <c r="F237" i="17"/>
  <c r="E237" i="17"/>
  <c r="D237" i="17"/>
  <c r="C237" i="17"/>
  <c r="B237" i="17"/>
  <c r="F188" i="17"/>
  <c r="E188" i="17"/>
  <c r="D188" i="17"/>
  <c r="C188" i="17"/>
  <c r="B188" i="17"/>
  <c r="F187" i="17"/>
  <c r="E187" i="17"/>
  <c r="D187" i="17"/>
  <c r="C187" i="17"/>
  <c r="B187" i="17"/>
  <c r="F186" i="17"/>
  <c r="E186" i="17"/>
  <c r="D186" i="17"/>
  <c r="C186" i="17"/>
  <c r="B186" i="17"/>
  <c r="F185" i="17"/>
  <c r="E185" i="17"/>
  <c r="D185" i="17"/>
  <c r="C185" i="17"/>
  <c r="B185" i="17"/>
  <c r="F184" i="17"/>
  <c r="E184" i="17"/>
  <c r="D184" i="17"/>
  <c r="C184" i="17"/>
  <c r="B184" i="17"/>
  <c r="F183" i="17"/>
  <c r="E183" i="17"/>
  <c r="D183" i="17"/>
  <c r="C183" i="17"/>
  <c r="B183" i="17"/>
  <c r="F182" i="17"/>
  <c r="E182" i="17"/>
  <c r="D182" i="17"/>
  <c r="C182" i="17"/>
  <c r="B182" i="17"/>
  <c r="F181" i="17"/>
  <c r="E181" i="17"/>
  <c r="D181" i="17"/>
  <c r="C181" i="17"/>
  <c r="B181" i="17"/>
  <c r="F180" i="17"/>
  <c r="E180" i="17"/>
  <c r="D180" i="17"/>
  <c r="C180" i="17"/>
  <c r="B180" i="17"/>
  <c r="F179" i="17"/>
  <c r="E179" i="17"/>
  <c r="D179" i="17"/>
  <c r="C179" i="17"/>
  <c r="B179" i="17"/>
  <c r="F178" i="17"/>
  <c r="E178" i="17"/>
  <c r="D178" i="17"/>
  <c r="C178" i="17"/>
  <c r="B178" i="17"/>
  <c r="F177" i="17"/>
  <c r="E177" i="17"/>
  <c r="D177" i="17"/>
  <c r="C177" i="17"/>
  <c r="B177" i="17"/>
  <c r="F176" i="17"/>
  <c r="E176" i="17"/>
  <c r="D176" i="17"/>
  <c r="C176" i="17"/>
  <c r="B176" i="17"/>
  <c r="F175" i="17"/>
  <c r="E175" i="17"/>
  <c r="D175" i="17"/>
  <c r="C175" i="17"/>
  <c r="B175" i="17"/>
  <c r="F174" i="17"/>
  <c r="E174" i="17"/>
  <c r="D174" i="17"/>
  <c r="C174" i="17"/>
  <c r="B174" i="17"/>
  <c r="F173" i="17"/>
  <c r="E173" i="17"/>
  <c r="D173" i="17"/>
  <c r="C173" i="17"/>
  <c r="B173" i="17"/>
  <c r="F172" i="17"/>
  <c r="E172" i="17"/>
  <c r="D172" i="17"/>
  <c r="C172" i="17"/>
  <c r="B172" i="17"/>
  <c r="F171" i="17"/>
  <c r="E171" i="17"/>
  <c r="D171" i="17"/>
  <c r="C171" i="17"/>
  <c r="B171" i="17"/>
  <c r="F170" i="17"/>
  <c r="E170" i="17"/>
  <c r="D170" i="17"/>
  <c r="C170" i="17"/>
  <c r="B170" i="17"/>
  <c r="F169" i="17"/>
  <c r="E169" i="17"/>
  <c r="D169" i="17"/>
  <c r="C169" i="17"/>
  <c r="B169" i="17"/>
  <c r="F168" i="17"/>
  <c r="E168" i="17"/>
  <c r="D168" i="17"/>
  <c r="C168" i="17"/>
  <c r="B168" i="17"/>
  <c r="F167" i="17"/>
  <c r="E167" i="17"/>
  <c r="D167" i="17"/>
  <c r="C167" i="17"/>
  <c r="B167" i="17"/>
  <c r="F166" i="17"/>
  <c r="E166" i="17"/>
  <c r="D166" i="17"/>
  <c r="C166" i="17"/>
  <c r="B166" i="17"/>
  <c r="F165" i="17"/>
  <c r="E165" i="17"/>
  <c r="D165" i="17"/>
  <c r="C165" i="17"/>
  <c r="B165" i="17"/>
  <c r="F164" i="17"/>
  <c r="E164" i="17"/>
  <c r="D164" i="17"/>
  <c r="C164" i="17"/>
  <c r="B164" i="17"/>
  <c r="B160" i="17"/>
  <c r="B159" i="17"/>
  <c r="B158" i="17"/>
  <c r="B157" i="17"/>
  <c r="B156" i="17"/>
  <c r="B155" i="17"/>
  <c r="B154" i="17"/>
  <c r="B153" i="17"/>
  <c r="B152" i="17"/>
  <c r="B151" i="17"/>
  <c r="B150" i="17"/>
  <c r="B149" i="17"/>
  <c r="B148" i="17"/>
  <c r="B147" i="17"/>
  <c r="B146" i="17"/>
  <c r="B145" i="17"/>
  <c r="B144" i="17"/>
  <c r="B143" i="17"/>
  <c r="B142" i="17"/>
  <c r="B141" i="17"/>
  <c r="B140" i="17"/>
  <c r="B139" i="17"/>
  <c r="B138" i="17"/>
  <c r="B137" i="17"/>
  <c r="B136" i="17"/>
  <c r="D132" i="17"/>
  <c r="D131" i="17"/>
  <c r="D130" i="17"/>
  <c r="D129" i="17"/>
  <c r="D128" i="17"/>
  <c r="D127" i="17"/>
  <c r="D126" i="17"/>
  <c r="D125" i="17"/>
  <c r="D124" i="17"/>
  <c r="D123" i="17"/>
  <c r="D122" i="17"/>
  <c r="D121" i="17"/>
  <c r="D120" i="17"/>
  <c r="D119" i="17"/>
  <c r="D118" i="17"/>
  <c r="D117" i="17"/>
  <c r="D116" i="17"/>
  <c r="D115" i="17"/>
  <c r="D114" i="17"/>
  <c r="D113" i="17"/>
  <c r="D112" i="17"/>
  <c r="D111" i="17"/>
  <c r="D110" i="17"/>
  <c r="D109" i="17"/>
  <c r="D108" i="17"/>
  <c r="B104" i="17"/>
  <c r="O399" i="16"/>
  <c r="N399" i="16"/>
  <c r="L399" i="16"/>
  <c r="N394" i="16"/>
  <c r="M394" i="16"/>
  <c r="K394" i="16"/>
  <c r="M389" i="16"/>
  <c r="L389" i="16"/>
  <c r="K389" i="16"/>
  <c r="J389" i="16"/>
  <c r="I389" i="16"/>
  <c r="H389" i="16"/>
  <c r="G389" i="16"/>
  <c r="F389" i="16"/>
  <c r="E389" i="16"/>
  <c r="D389" i="16"/>
  <c r="C389" i="16"/>
  <c r="B389" i="16"/>
  <c r="M388" i="16"/>
  <c r="L388" i="16"/>
  <c r="K388" i="16"/>
  <c r="J388" i="16"/>
  <c r="I388" i="16"/>
  <c r="H388" i="16"/>
  <c r="G388" i="16"/>
  <c r="F388" i="16"/>
  <c r="E388" i="16"/>
  <c r="D388" i="16"/>
  <c r="C388" i="16"/>
  <c r="B388" i="16"/>
  <c r="M376" i="16"/>
  <c r="L376" i="16"/>
  <c r="K376" i="16"/>
  <c r="J376" i="16"/>
  <c r="I376" i="16"/>
  <c r="H376" i="16"/>
  <c r="G376" i="16"/>
  <c r="F376" i="16"/>
  <c r="E376" i="16"/>
  <c r="D376" i="16"/>
  <c r="C376" i="16"/>
  <c r="B376" i="16"/>
  <c r="M375" i="16"/>
  <c r="L375" i="16"/>
  <c r="K375" i="16"/>
  <c r="J375" i="16"/>
  <c r="I375" i="16"/>
  <c r="H375" i="16"/>
  <c r="G375" i="16"/>
  <c r="F375" i="16"/>
  <c r="E375" i="16"/>
  <c r="D375" i="16"/>
  <c r="C375" i="16"/>
  <c r="B375" i="16"/>
  <c r="T259" i="16"/>
  <c r="H259" i="16"/>
  <c r="G259" i="16"/>
  <c r="F259" i="16"/>
  <c r="E259" i="16"/>
  <c r="D259" i="16"/>
  <c r="C259" i="16"/>
  <c r="B259" i="16"/>
  <c r="T258" i="16"/>
  <c r="H258" i="16"/>
  <c r="G258" i="16"/>
  <c r="F258" i="16"/>
  <c r="E258" i="16"/>
  <c r="D258" i="16"/>
  <c r="C258" i="16"/>
  <c r="B258" i="16"/>
  <c r="T257" i="16"/>
  <c r="H257" i="16"/>
  <c r="G257" i="16"/>
  <c r="F257" i="16"/>
  <c r="E257" i="16"/>
  <c r="D257" i="16"/>
  <c r="C257" i="16"/>
  <c r="B257" i="16"/>
  <c r="T256" i="16"/>
  <c r="H256" i="16"/>
  <c r="G256" i="16"/>
  <c r="F256" i="16"/>
  <c r="E256" i="16"/>
  <c r="D256" i="16"/>
  <c r="C256" i="16"/>
  <c r="B256" i="16"/>
  <c r="T255" i="16"/>
  <c r="H255" i="16"/>
  <c r="G255" i="16"/>
  <c r="F255" i="16"/>
  <c r="E255" i="16"/>
  <c r="D255" i="16"/>
  <c r="C255" i="16"/>
  <c r="B255" i="16"/>
  <c r="T254" i="16"/>
  <c r="H254" i="16"/>
  <c r="G254" i="16"/>
  <c r="F254" i="16"/>
  <c r="E254" i="16"/>
  <c r="D254" i="16"/>
  <c r="C254" i="16"/>
  <c r="B254" i="16"/>
  <c r="T253" i="16"/>
  <c r="H253" i="16"/>
  <c r="G253" i="16"/>
  <c r="F253" i="16"/>
  <c r="E253" i="16"/>
  <c r="D253" i="16"/>
  <c r="C253" i="16"/>
  <c r="B253" i="16"/>
  <c r="T252" i="16"/>
  <c r="H252" i="16"/>
  <c r="G252" i="16"/>
  <c r="F252" i="16"/>
  <c r="E252" i="16"/>
  <c r="D252" i="16"/>
  <c r="C252" i="16"/>
  <c r="B252" i="16"/>
  <c r="T251" i="16"/>
  <c r="H251" i="16"/>
  <c r="G251" i="16"/>
  <c r="F251" i="16"/>
  <c r="E251" i="16"/>
  <c r="D251" i="16"/>
  <c r="C251" i="16"/>
  <c r="B251" i="16"/>
  <c r="T250" i="16"/>
  <c r="H250" i="16"/>
  <c r="G250" i="16"/>
  <c r="F250" i="16"/>
  <c r="E250" i="16"/>
  <c r="D250" i="16"/>
  <c r="C250" i="16"/>
  <c r="B250" i="16"/>
  <c r="T249" i="16"/>
  <c r="H249" i="16"/>
  <c r="G249" i="16"/>
  <c r="F249" i="16"/>
  <c r="E249" i="16"/>
  <c r="D249" i="16"/>
  <c r="C249" i="16"/>
  <c r="B249" i="16"/>
  <c r="T248" i="16"/>
  <c r="H248" i="16"/>
  <c r="G248" i="16"/>
  <c r="F248" i="16"/>
  <c r="E248" i="16"/>
  <c r="D248" i="16"/>
  <c r="C248" i="16"/>
  <c r="B248" i="16"/>
  <c r="T247" i="16"/>
  <c r="H247" i="16"/>
  <c r="G247" i="16"/>
  <c r="F247" i="16"/>
  <c r="E247" i="16"/>
  <c r="D247" i="16"/>
  <c r="C247" i="16"/>
  <c r="B247" i="16"/>
  <c r="T246" i="16"/>
  <c r="H246" i="16"/>
  <c r="G246" i="16"/>
  <c r="F246" i="16"/>
  <c r="E246" i="16"/>
  <c r="D246" i="16"/>
  <c r="C246" i="16"/>
  <c r="B246" i="16"/>
  <c r="T245" i="16"/>
  <c r="H245" i="16"/>
  <c r="G245" i="16"/>
  <c r="F245" i="16"/>
  <c r="E245" i="16"/>
  <c r="D245" i="16"/>
  <c r="C245" i="16"/>
  <c r="B245" i="16"/>
  <c r="T244" i="16"/>
  <c r="H244" i="16"/>
  <c r="G244" i="16"/>
  <c r="F244" i="16"/>
  <c r="E244" i="16"/>
  <c r="D244" i="16"/>
  <c r="C244" i="16"/>
  <c r="B244" i="16"/>
  <c r="T243" i="16"/>
  <c r="H243" i="16"/>
  <c r="G243" i="16"/>
  <c r="F243" i="16"/>
  <c r="E243" i="16"/>
  <c r="D243" i="16"/>
  <c r="C243" i="16"/>
  <c r="B243" i="16"/>
  <c r="T242" i="16"/>
  <c r="H242" i="16"/>
  <c r="G242" i="16"/>
  <c r="F242" i="16"/>
  <c r="E242" i="16"/>
  <c r="D242" i="16"/>
  <c r="C242" i="16"/>
  <c r="B242" i="16"/>
  <c r="T241" i="16"/>
  <c r="H241" i="16"/>
  <c r="G241" i="16"/>
  <c r="F241" i="16"/>
  <c r="E241" i="16"/>
  <c r="D241" i="16"/>
  <c r="C241" i="16"/>
  <c r="B241" i="16"/>
  <c r="T240" i="16"/>
  <c r="H240" i="16"/>
  <c r="G240" i="16"/>
  <c r="F240" i="16"/>
  <c r="E240" i="16"/>
  <c r="D240" i="16"/>
  <c r="C240" i="16"/>
  <c r="B240" i="16"/>
  <c r="T239" i="16"/>
  <c r="H239" i="16"/>
  <c r="G239" i="16"/>
  <c r="F239" i="16"/>
  <c r="E239" i="16"/>
  <c r="D239" i="16"/>
  <c r="C239" i="16"/>
  <c r="B239" i="16"/>
  <c r="T238" i="16"/>
  <c r="H238" i="16"/>
  <c r="G238" i="16"/>
  <c r="F238" i="16"/>
  <c r="E238" i="16"/>
  <c r="D238" i="16"/>
  <c r="C238" i="16"/>
  <c r="B238" i="16"/>
  <c r="T237" i="16"/>
  <c r="H237" i="16"/>
  <c r="G237" i="16"/>
  <c r="F237" i="16"/>
  <c r="E237" i="16"/>
  <c r="D237" i="16"/>
  <c r="C237" i="16"/>
  <c r="B237" i="16"/>
  <c r="T236" i="16"/>
  <c r="H236" i="16"/>
  <c r="G236" i="16"/>
  <c r="F236" i="16"/>
  <c r="E236" i="16"/>
  <c r="D236" i="16"/>
  <c r="C236" i="16"/>
  <c r="B236" i="16"/>
  <c r="T235" i="16"/>
  <c r="H235" i="16"/>
  <c r="G235" i="16"/>
  <c r="F235" i="16"/>
  <c r="E235" i="16"/>
  <c r="D235" i="16"/>
  <c r="C235" i="16"/>
  <c r="B235" i="16"/>
  <c r="C215" i="16"/>
  <c r="C214" i="16"/>
  <c r="C213" i="16"/>
  <c r="C212" i="16"/>
  <c r="C211" i="16"/>
  <c r="C210" i="16"/>
  <c r="C209" i="16"/>
  <c r="C208" i="16"/>
  <c r="C207" i="16"/>
  <c r="C206" i="16"/>
  <c r="C205" i="16"/>
  <c r="C204" i="16"/>
  <c r="C203" i="16"/>
  <c r="C202" i="16"/>
  <c r="C201" i="16"/>
  <c r="C200" i="16"/>
  <c r="C199" i="16"/>
  <c r="C198" i="16"/>
  <c r="C197" i="16"/>
  <c r="C196" i="16"/>
  <c r="C195" i="16"/>
  <c r="C194" i="16"/>
  <c r="C193" i="16"/>
  <c r="C192" i="16"/>
  <c r="C191" i="16"/>
  <c r="F187" i="16"/>
  <c r="E187" i="16"/>
  <c r="D187" i="16"/>
  <c r="C187" i="16"/>
  <c r="B187" i="16"/>
  <c r="F186" i="16"/>
  <c r="E186" i="16"/>
  <c r="D186" i="16"/>
  <c r="C186" i="16"/>
  <c r="B186" i="16"/>
  <c r="F185" i="16"/>
  <c r="E185" i="16"/>
  <c r="D185" i="16"/>
  <c r="C185" i="16"/>
  <c r="B185" i="16"/>
  <c r="F184" i="16"/>
  <c r="E184" i="16"/>
  <c r="D184" i="16"/>
  <c r="C184" i="16"/>
  <c r="B184" i="16"/>
  <c r="F183" i="16"/>
  <c r="E183" i="16"/>
  <c r="D183" i="16"/>
  <c r="C183" i="16"/>
  <c r="B183" i="16"/>
  <c r="F182" i="16"/>
  <c r="E182" i="16"/>
  <c r="D182" i="16"/>
  <c r="C182" i="16"/>
  <c r="B182" i="16"/>
  <c r="F181" i="16"/>
  <c r="E181" i="16"/>
  <c r="D181" i="16"/>
  <c r="C181" i="16"/>
  <c r="B181" i="16"/>
  <c r="F180" i="16"/>
  <c r="E180" i="16"/>
  <c r="D180" i="16"/>
  <c r="C180" i="16"/>
  <c r="B180" i="16"/>
  <c r="F179" i="16"/>
  <c r="E179" i="16"/>
  <c r="D179" i="16"/>
  <c r="C179" i="16"/>
  <c r="B179" i="16"/>
  <c r="F178" i="16"/>
  <c r="E178" i="16"/>
  <c r="D178" i="16"/>
  <c r="C178" i="16"/>
  <c r="B178" i="16"/>
  <c r="F177" i="16"/>
  <c r="E177" i="16"/>
  <c r="D177" i="16"/>
  <c r="C177" i="16"/>
  <c r="B177" i="16"/>
  <c r="F176" i="16"/>
  <c r="E176" i="16"/>
  <c r="D176" i="16"/>
  <c r="C176" i="16"/>
  <c r="B176" i="16"/>
  <c r="F175" i="16"/>
  <c r="E175" i="16"/>
  <c r="D175" i="16"/>
  <c r="C175" i="16"/>
  <c r="B175" i="16"/>
  <c r="F174" i="16"/>
  <c r="E174" i="16"/>
  <c r="D174" i="16"/>
  <c r="C174" i="16"/>
  <c r="B174" i="16"/>
  <c r="F173" i="16"/>
  <c r="E173" i="16"/>
  <c r="D173" i="16"/>
  <c r="C173" i="16"/>
  <c r="B173" i="16"/>
  <c r="F172" i="16"/>
  <c r="E172" i="16"/>
  <c r="D172" i="16"/>
  <c r="C172" i="16"/>
  <c r="B172" i="16"/>
  <c r="F171" i="16"/>
  <c r="E171" i="16"/>
  <c r="D171" i="16"/>
  <c r="C171" i="16"/>
  <c r="B171" i="16"/>
  <c r="F170" i="16"/>
  <c r="E170" i="16"/>
  <c r="D170" i="16"/>
  <c r="C170" i="16"/>
  <c r="B170" i="16"/>
  <c r="F169" i="16"/>
  <c r="E169" i="16"/>
  <c r="D169" i="16"/>
  <c r="C169" i="16"/>
  <c r="B169" i="16"/>
  <c r="F168" i="16"/>
  <c r="E168" i="16"/>
  <c r="D168" i="16"/>
  <c r="C168" i="16"/>
  <c r="B168" i="16"/>
  <c r="F167" i="16"/>
  <c r="E167" i="16"/>
  <c r="D167" i="16"/>
  <c r="C167" i="16"/>
  <c r="B167" i="16"/>
  <c r="F166" i="16"/>
  <c r="E166" i="16"/>
  <c r="D166" i="16"/>
  <c r="C166" i="16"/>
  <c r="B166" i="16"/>
  <c r="F165" i="16"/>
  <c r="E165" i="16"/>
  <c r="D165" i="16"/>
  <c r="C165" i="16"/>
  <c r="B165" i="16"/>
  <c r="F164" i="16"/>
  <c r="E164" i="16"/>
  <c r="D164" i="16"/>
  <c r="C164" i="16"/>
  <c r="B164" i="16"/>
  <c r="F163" i="16"/>
  <c r="E163" i="16"/>
  <c r="D163" i="16"/>
  <c r="C163" i="16"/>
  <c r="B163" i="16"/>
  <c r="S159" i="16"/>
  <c r="S158" i="16"/>
  <c r="S157" i="16"/>
  <c r="S156" i="16"/>
  <c r="S155" i="16"/>
  <c r="S154" i="16"/>
  <c r="S153" i="16"/>
  <c r="S152" i="16"/>
  <c r="S151" i="16"/>
  <c r="S150" i="16"/>
  <c r="S149" i="16"/>
  <c r="S148" i="16"/>
  <c r="S147" i="16"/>
  <c r="S146" i="16"/>
  <c r="S145" i="16"/>
  <c r="S144" i="16"/>
  <c r="S143" i="16"/>
  <c r="S142" i="16"/>
  <c r="S141" i="16"/>
  <c r="S140" i="16"/>
  <c r="S139" i="16"/>
  <c r="S138" i="16"/>
  <c r="S137" i="16"/>
  <c r="S136" i="16"/>
  <c r="S135" i="16"/>
  <c r="D131" i="16"/>
  <c r="D130" i="16"/>
  <c r="D129" i="16"/>
  <c r="D128" i="16"/>
  <c r="D127" i="16"/>
  <c r="D126" i="16"/>
  <c r="D125" i="16"/>
  <c r="D124" i="16"/>
  <c r="D123" i="16"/>
  <c r="D122" i="16"/>
  <c r="D121" i="16"/>
  <c r="D120" i="16"/>
  <c r="D119" i="16"/>
  <c r="D118" i="16"/>
  <c r="D117" i="16"/>
  <c r="D116" i="16"/>
  <c r="D115" i="16"/>
  <c r="D114" i="16"/>
  <c r="D113" i="16"/>
  <c r="D112" i="16"/>
  <c r="D111" i="16"/>
  <c r="D110" i="16"/>
  <c r="D109" i="16"/>
  <c r="D108" i="16"/>
  <c r="B104" i="16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F8" i="1"/>
  <c r="F7" i="1"/>
  <c r="F6" i="1"/>
  <c r="L45" i="5" l="1"/>
  <c r="X45" i="5" s="1"/>
  <c r="L24" i="11"/>
  <c r="K24" i="11"/>
  <c r="J45" i="5"/>
  <c r="V45" i="5" s="1"/>
  <c r="K45" i="5"/>
  <c r="W45" i="5" s="1"/>
  <c r="J24" i="11"/>
  <c r="H35" i="5"/>
  <c r="T35" i="5" s="1"/>
  <c r="E14" i="11"/>
  <c r="F35" i="5"/>
  <c r="R35" i="5" s="1"/>
  <c r="D14" i="11"/>
  <c r="C14" i="11"/>
  <c r="G35" i="5"/>
  <c r="S35" i="5" s="1"/>
  <c r="P29" i="5"/>
  <c r="AB29" i="5" s="1"/>
  <c r="S8" i="11"/>
  <c r="N29" i="5"/>
  <c r="Z29" i="5" s="1"/>
  <c r="R8" i="11"/>
  <c r="L8" i="11"/>
  <c r="L29" i="5"/>
  <c r="X29" i="5" s="1"/>
  <c r="J29" i="5"/>
  <c r="V29" i="5" s="1"/>
  <c r="K8" i="11"/>
  <c r="O28" i="5"/>
  <c r="AA28" i="5" s="1"/>
  <c r="Q7" i="11"/>
  <c r="K28" i="5"/>
  <c r="W28" i="5" s="1"/>
  <c r="J7" i="11"/>
  <c r="L24" i="10"/>
  <c r="L45" i="4"/>
  <c r="X45" i="4" s="1"/>
  <c r="J45" i="4"/>
  <c r="V45" i="4" s="1"/>
  <c r="K24" i="10"/>
  <c r="J24" i="10"/>
  <c r="K45" i="4"/>
  <c r="W45" i="4" s="1"/>
  <c r="E14" i="10"/>
  <c r="H35" i="4"/>
  <c r="T35" i="4" s="1"/>
  <c r="D14" i="10"/>
  <c r="F35" i="4"/>
  <c r="R35" i="4" s="1"/>
  <c r="C14" i="10"/>
  <c r="G35" i="4"/>
  <c r="S35" i="4" s="1"/>
  <c r="S8" i="10"/>
  <c r="P29" i="4"/>
  <c r="AB29" i="4" s="1"/>
  <c r="R8" i="10"/>
  <c r="N29" i="4"/>
  <c r="Z29" i="4" s="1"/>
  <c r="O29" i="4"/>
  <c r="AA29" i="4" s="1"/>
  <c r="Q8" i="10"/>
  <c r="L23" i="9"/>
  <c r="L44" i="3"/>
  <c r="X44" i="3" s="1"/>
  <c r="K23" i="9"/>
  <c r="J44" i="3"/>
  <c r="V44" i="3" s="1"/>
  <c r="J23" i="9"/>
  <c r="K44" i="3"/>
  <c r="W44" i="3" s="1"/>
  <c r="E13" i="9"/>
  <c r="H34" i="3"/>
  <c r="T34" i="3" s="1"/>
  <c r="F34" i="3"/>
  <c r="R34" i="3" s="1"/>
  <c r="D13" i="9"/>
  <c r="C13" i="9"/>
  <c r="G34" i="3"/>
  <c r="S34" i="3" s="1"/>
  <c r="S7" i="9"/>
  <c r="P28" i="3"/>
  <c r="AB28" i="3" s="1"/>
  <c r="R7" i="9"/>
  <c r="N28" i="3"/>
  <c r="Z28" i="3" s="1"/>
  <c r="Q7" i="9"/>
  <c r="O28" i="3"/>
  <c r="AA28" i="3" s="1"/>
  <c r="L25" i="11" l="1"/>
  <c r="L46" i="5"/>
  <c r="X46" i="5" s="1"/>
  <c r="K25" i="11"/>
  <c r="J46" i="5"/>
  <c r="V46" i="5" s="1"/>
  <c r="J25" i="11"/>
  <c r="K46" i="5"/>
  <c r="W46" i="5" s="1"/>
  <c r="E15" i="11"/>
  <c r="H36" i="5"/>
  <c r="T36" i="5" s="1"/>
  <c r="D15" i="11"/>
  <c r="F36" i="5"/>
  <c r="R36" i="5" s="1"/>
  <c r="C15" i="11"/>
  <c r="G36" i="5"/>
  <c r="S36" i="5" s="1"/>
  <c r="S9" i="11"/>
  <c r="P30" i="5"/>
  <c r="AB30" i="5" s="1"/>
  <c r="N30" i="5"/>
  <c r="Z30" i="5" s="1"/>
  <c r="R9" i="11"/>
  <c r="L9" i="11"/>
  <c r="L30" i="5"/>
  <c r="X30" i="5" s="1"/>
  <c r="J30" i="5"/>
  <c r="V30" i="5" s="1"/>
  <c r="K9" i="11"/>
  <c r="Q8" i="11"/>
  <c r="O29" i="5"/>
  <c r="AA29" i="5" s="1"/>
  <c r="J8" i="11"/>
  <c r="K29" i="5"/>
  <c r="W29" i="5" s="1"/>
  <c r="L25" i="10"/>
  <c r="L46" i="4"/>
  <c r="X46" i="4" s="1"/>
  <c r="J46" i="4"/>
  <c r="V46" i="4" s="1"/>
  <c r="K25" i="10"/>
  <c r="J25" i="10"/>
  <c r="K46" i="4"/>
  <c r="W46" i="4" s="1"/>
  <c r="E15" i="10"/>
  <c r="H36" i="4"/>
  <c r="T36" i="4" s="1"/>
  <c r="D15" i="10"/>
  <c r="F36" i="4"/>
  <c r="R36" i="4" s="1"/>
  <c r="C15" i="10"/>
  <c r="G36" i="4"/>
  <c r="S36" i="4" s="1"/>
  <c r="P30" i="4"/>
  <c r="AB30" i="4" s="1"/>
  <c r="S9" i="10"/>
  <c r="R9" i="10"/>
  <c r="N30" i="4"/>
  <c r="Z30" i="4" s="1"/>
  <c r="O30" i="4"/>
  <c r="AA30" i="4" s="1"/>
  <c r="Q9" i="10"/>
  <c r="L45" i="3"/>
  <c r="X45" i="3" s="1"/>
  <c r="L24" i="9"/>
  <c r="K24" i="9"/>
  <c r="J45" i="3"/>
  <c r="V45" i="3" s="1"/>
  <c r="J24" i="9"/>
  <c r="K45" i="3"/>
  <c r="W45" i="3" s="1"/>
  <c r="H35" i="3"/>
  <c r="T35" i="3" s="1"/>
  <c r="E14" i="9"/>
  <c r="F35" i="3"/>
  <c r="R35" i="3" s="1"/>
  <c r="D14" i="9"/>
  <c r="C14" i="9"/>
  <c r="G35" i="3"/>
  <c r="S35" i="3" s="1"/>
  <c r="S8" i="9"/>
  <c r="P29" i="3"/>
  <c r="AB29" i="3" s="1"/>
  <c r="N29" i="3"/>
  <c r="Z29" i="3" s="1"/>
  <c r="R8" i="9"/>
  <c r="O29" i="3"/>
  <c r="AA29" i="3" s="1"/>
  <c r="Q8" i="9"/>
  <c r="L26" i="11" l="1"/>
  <c r="L47" i="5"/>
  <c r="X47" i="5" s="1"/>
  <c r="K26" i="11"/>
  <c r="J47" i="5"/>
  <c r="V47" i="5" s="1"/>
  <c r="J26" i="11"/>
  <c r="K47" i="5"/>
  <c r="W47" i="5" s="1"/>
  <c r="E16" i="11"/>
  <c r="H37" i="5"/>
  <c r="T37" i="5" s="1"/>
  <c r="F37" i="5"/>
  <c r="R37" i="5" s="1"/>
  <c r="D16" i="11"/>
  <c r="G37" i="5"/>
  <c r="S37" i="5" s="1"/>
  <c r="C16" i="11"/>
  <c r="S10" i="11"/>
  <c r="P31" i="5"/>
  <c r="AB31" i="5" s="1"/>
  <c r="R10" i="11"/>
  <c r="N31" i="5"/>
  <c r="Z31" i="5" s="1"/>
  <c r="L10" i="11"/>
  <c r="L31" i="5"/>
  <c r="X31" i="5" s="1"/>
  <c r="K10" i="11"/>
  <c r="J31" i="5"/>
  <c r="V31" i="5" s="1"/>
  <c r="Q9" i="11"/>
  <c r="O30" i="5"/>
  <c r="AA30" i="5" s="1"/>
  <c r="J9" i="11"/>
  <c r="K30" i="5"/>
  <c r="W30" i="5" s="1"/>
  <c r="L26" i="10"/>
  <c r="L47" i="4"/>
  <c r="X47" i="4" s="1"/>
  <c r="J47" i="4"/>
  <c r="V47" i="4" s="1"/>
  <c r="K26" i="10"/>
  <c r="K47" i="4"/>
  <c r="W47" i="4" s="1"/>
  <c r="J26" i="10"/>
  <c r="E16" i="10"/>
  <c r="H37" i="4"/>
  <c r="T37" i="4" s="1"/>
  <c r="D16" i="10"/>
  <c r="F37" i="4"/>
  <c r="R37" i="4" s="1"/>
  <c r="C16" i="10"/>
  <c r="G37" i="4"/>
  <c r="S37" i="4" s="1"/>
  <c r="S10" i="10"/>
  <c r="P31" i="4"/>
  <c r="AB31" i="4" s="1"/>
  <c r="N31" i="4"/>
  <c r="Z31" i="4" s="1"/>
  <c r="R10" i="10"/>
  <c r="O31" i="4"/>
  <c r="AA31" i="4" s="1"/>
  <c r="Q10" i="10"/>
  <c r="L25" i="9"/>
  <c r="L46" i="3"/>
  <c r="X46" i="3" s="1"/>
  <c r="J46" i="3"/>
  <c r="V46" i="3" s="1"/>
  <c r="K25" i="9"/>
  <c r="J25" i="9"/>
  <c r="K46" i="3"/>
  <c r="W46" i="3" s="1"/>
  <c r="H36" i="3"/>
  <c r="T36" i="3" s="1"/>
  <c r="E15" i="9"/>
  <c r="D15" i="9"/>
  <c r="F36" i="3"/>
  <c r="R36" i="3" s="1"/>
  <c r="G36" i="3"/>
  <c r="S36" i="3" s="1"/>
  <c r="C15" i="9"/>
  <c r="P30" i="3"/>
  <c r="AB30" i="3" s="1"/>
  <c r="S9" i="9"/>
  <c r="R9" i="9"/>
  <c r="N30" i="3"/>
  <c r="Z30" i="3" s="1"/>
  <c r="Q9" i="9"/>
  <c r="O30" i="3"/>
  <c r="AA30" i="3" s="1"/>
  <c r="L27" i="11" l="1"/>
  <c r="L48" i="5"/>
  <c r="X48" i="5" s="1"/>
  <c r="J48" i="5"/>
  <c r="V48" i="5" s="1"/>
  <c r="K27" i="11"/>
  <c r="J27" i="11"/>
  <c r="K48" i="5"/>
  <c r="W48" i="5" s="1"/>
  <c r="H38" i="5"/>
  <c r="T38" i="5" s="1"/>
  <c r="E17" i="11"/>
  <c r="D17" i="11"/>
  <c r="F38" i="5"/>
  <c r="R38" i="5" s="1"/>
  <c r="C17" i="11"/>
  <c r="G38" i="5"/>
  <c r="S38" i="5" s="1"/>
  <c r="S11" i="11"/>
  <c r="P32" i="5"/>
  <c r="AB32" i="5" s="1"/>
  <c r="R11" i="11"/>
  <c r="N32" i="5"/>
  <c r="Z32" i="5" s="1"/>
  <c r="L11" i="11"/>
  <c r="L32" i="5"/>
  <c r="X32" i="5" s="1"/>
  <c r="J32" i="5"/>
  <c r="V32" i="5" s="1"/>
  <c r="K11" i="11"/>
  <c r="Q10" i="11"/>
  <c r="O31" i="5"/>
  <c r="AA31" i="5" s="1"/>
  <c r="K31" i="5"/>
  <c r="W31" i="5" s="1"/>
  <c r="J10" i="11"/>
  <c r="L27" i="10"/>
  <c r="L48" i="4"/>
  <c r="X48" i="4" s="1"/>
  <c r="K27" i="10"/>
  <c r="J48" i="4"/>
  <c r="V48" i="4" s="1"/>
  <c r="J27" i="10"/>
  <c r="K48" i="4"/>
  <c r="W48" i="4" s="1"/>
  <c r="E17" i="10"/>
  <c r="H38" i="4"/>
  <c r="T38" i="4" s="1"/>
  <c r="D17" i="10"/>
  <c r="F38" i="4"/>
  <c r="R38" i="4" s="1"/>
  <c r="C17" i="10"/>
  <c r="G38" i="4"/>
  <c r="S38" i="4" s="1"/>
  <c r="S11" i="10"/>
  <c r="P32" i="4"/>
  <c r="AB32" i="4" s="1"/>
  <c r="R11" i="10"/>
  <c r="N32" i="4"/>
  <c r="Z32" i="4" s="1"/>
  <c r="Q11" i="10"/>
  <c r="O32" i="4"/>
  <c r="AA32" i="4" s="1"/>
  <c r="L26" i="9"/>
  <c r="L47" i="3"/>
  <c r="X47" i="3" s="1"/>
  <c r="K26" i="9"/>
  <c r="J47" i="3"/>
  <c r="V47" i="3" s="1"/>
  <c r="K47" i="3"/>
  <c r="W47" i="3" s="1"/>
  <c r="J26" i="9"/>
  <c r="E16" i="9"/>
  <c r="H37" i="3"/>
  <c r="T37" i="3" s="1"/>
  <c r="F37" i="3"/>
  <c r="R37" i="3" s="1"/>
  <c r="D16" i="9"/>
  <c r="G37" i="3"/>
  <c r="S37" i="3" s="1"/>
  <c r="C16" i="9"/>
  <c r="P31" i="3"/>
  <c r="AB31" i="3" s="1"/>
  <c r="S10" i="9"/>
  <c r="R10" i="9"/>
  <c r="N31" i="3"/>
  <c r="Z31" i="3" s="1"/>
  <c r="O31" i="3"/>
  <c r="AA31" i="3" s="1"/>
  <c r="Q10" i="9"/>
  <c r="L28" i="11" l="1"/>
  <c r="L49" i="5"/>
  <c r="X49" i="5" s="1"/>
  <c r="K28" i="11"/>
  <c r="J49" i="5"/>
  <c r="V49" i="5" s="1"/>
  <c r="K49" i="5"/>
  <c r="W49" i="5" s="1"/>
  <c r="J28" i="11"/>
  <c r="H39" i="5"/>
  <c r="T39" i="5" s="1"/>
  <c r="E18" i="11"/>
  <c r="F39" i="5"/>
  <c r="R39" i="5" s="1"/>
  <c r="D18" i="11"/>
  <c r="G39" i="5"/>
  <c r="S39" i="5" s="1"/>
  <c r="C18" i="11"/>
  <c r="P33" i="5"/>
  <c r="AB33" i="5" s="1"/>
  <c r="S12" i="11"/>
  <c r="N33" i="5"/>
  <c r="Z33" i="5" s="1"/>
  <c r="R12" i="11"/>
  <c r="L33" i="5"/>
  <c r="X33" i="5" s="1"/>
  <c r="L12" i="11"/>
  <c r="K12" i="11"/>
  <c r="J33" i="5"/>
  <c r="V33" i="5" s="1"/>
  <c r="Q11" i="11"/>
  <c r="O32" i="5"/>
  <c r="AA32" i="5" s="1"/>
  <c r="K32" i="5"/>
  <c r="W32" i="5" s="1"/>
  <c r="J11" i="11"/>
  <c r="L28" i="10"/>
  <c r="L49" i="4"/>
  <c r="X49" i="4" s="1"/>
  <c r="J49" i="4"/>
  <c r="V49" i="4" s="1"/>
  <c r="K28" i="10"/>
  <c r="J28" i="10"/>
  <c r="K49" i="4"/>
  <c r="W49" i="4" s="1"/>
  <c r="E18" i="10"/>
  <c r="H39" i="4"/>
  <c r="T39" i="4" s="1"/>
  <c r="D18" i="10"/>
  <c r="F39" i="4"/>
  <c r="R39" i="4" s="1"/>
  <c r="C18" i="10"/>
  <c r="G39" i="4"/>
  <c r="S39" i="4" s="1"/>
  <c r="P33" i="4"/>
  <c r="AB33" i="4" s="1"/>
  <c r="S12" i="10"/>
  <c r="R12" i="10"/>
  <c r="N33" i="4"/>
  <c r="Z33" i="4" s="1"/>
  <c r="O33" i="4"/>
  <c r="AA33" i="4" s="1"/>
  <c r="Q12" i="10"/>
  <c r="L48" i="3"/>
  <c r="X48" i="3" s="1"/>
  <c r="L27" i="9"/>
  <c r="J48" i="3"/>
  <c r="V48" i="3" s="1"/>
  <c r="K27" i="9"/>
  <c r="J27" i="9"/>
  <c r="K48" i="3"/>
  <c r="W48" i="3" s="1"/>
  <c r="H38" i="3"/>
  <c r="T38" i="3" s="1"/>
  <c r="E17" i="9"/>
  <c r="D17" i="9"/>
  <c r="F38" i="3"/>
  <c r="R38" i="3" s="1"/>
  <c r="C17" i="9"/>
  <c r="G38" i="3"/>
  <c r="S38" i="3" s="1"/>
  <c r="S11" i="9"/>
  <c r="P32" i="3"/>
  <c r="AB32" i="3" s="1"/>
  <c r="N32" i="3"/>
  <c r="Z32" i="3" s="1"/>
  <c r="R11" i="9"/>
  <c r="Q11" i="9"/>
  <c r="O32" i="3"/>
  <c r="AA32" i="3" s="1"/>
  <c r="L50" i="5" l="1"/>
  <c r="X50" i="5" s="1"/>
  <c r="L29" i="11"/>
  <c r="K29" i="11"/>
  <c r="J50" i="5"/>
  <c r="V50" i="5" s="1"/>
  <c r="J29" i="11"/>
  <c r="K50" i="5"/>
  <c r="W50" i="5" s="1"/>
  <c r="E19" i="11"/>
  <c r="H40" i="5"/>
  <c r="T40" i="5" s="1"/>
  <c r="F40" i="5"/>
  <c r="R40" i="5" s="1"/>
  <c r="D19" i="11"/>
  <c r="C19" i="11"/>
  <c r="G40" i="5"/>
  <c r="S40" i="5" s="1"/>
  <c r="S13" i="11"/>
  <c r="P34" i="5"/>
  <c r="AB34" i="5" s="1"/>
  <c r="N34" i="5"/>
  <c r="Z34" i="5" s="1"/>
  <c r="R13" i="11"/>
  <c r="L34" i="5"/>
  <c r="X34" i="5" s="1"/>
  <c r="L13" i="11"/>
  <c r="K13" i="11"/>
  <c r="J34" i="5"/>
  <c r="V34" i="5" s="1"/>
  <c r="Q12" i="11"/>
  <c r="O33" i="5"/>
  <c r="AA33" i="5" s="1"/>
  <c r="K33" i="5"/>
  <c r="W33" i="5" s="1"/>
  <c r="J12" i="11"/>
  <c r="L29" i="10"/>
  <c r="L50" i="4"/>
  <c r="X50" i="4" s="1"/>
  <c r="J50" i="4"/>
  <c r="V50" i="4" s="1"/>
  <c r="K29" i="10"/>
  <c r="J29" i="10"/>
  <c r="K50" i="4"/>
  <c r="W50" i="4" s="1"/>
  <c r="H40" i="4"/>
  <c r="T40" i="4" s="1"/>
  <c r="E19" i="10"/>
  <c r="D19" i="10"/>
  <c r="F40" i="4"/>
  <c r="R40" i="4" s="1"/>
  <c r="C19" i="10"/>
  <c r="G40" i="4"/>
  <c r="S40" i="4" s="1"/>
  <c r="P34" i="4"/>
  <c r="AB34" i="4" s="1"/>
  <c r="S13" i="10"/>
  <c r="N34" i="4"/>
  <c r="Z34" i="4" s="1"/>
  <c r="R13" i="10"/>
  <c r="O34" i="4"/>
  <c r="AA34" i="4" s="1"/>
  <c r="Q13" i="10"/>
  <c r="L49" i="3"/>
  <c r="X49" i="3" s="1"/>
  <c r="L28" i="9"/>
  <c r="K28" i="9"/>
  <c r="J49" i="3"/>
  <c r="V49" i="3" s="1"/>
  <c r="K49" i="3"/>
  <c r="W49" i="3" s="1"/>
  <c r="J28" i="9"/>
  <c r="E18" i="9"/>
  <c r="H39" i="3"/>
  <c r="T39" i="3" s="1"/>
  <c r="F39" i="3"/>
  <c r="R39" i="3" s="1"/>
  <c r="D18" i="9"/>
  <c r="G39" i="3"/>
  <c r="S39" i="3" s="1"/>
  <c r="C18" i="9"/>
  <c r="S12" i="9"/>
  <c r="P33" i="3"/>
  <c r="AB33" i="3" s="1"/>
  <c r="N33" i="3"/>
  <c r="Z33" i="3" s="1"/>
  <c r="R12" i="9"/>
  <c r="Q12" i="9"/>
  <c r="O33" i="3"/>
  <c r="AA33" i="3" s="1"/>
  <c r="L30" i="11" l="1"/>
  <c r="L52" i="5" s="1"/>
  <c r="X52" i="5" s="1"/>
  <c r="L51" i="5"/>
  <c r="X51" i="5" s="1"/>
  <c r="K30" i="11"/>
  <c r="J52" i="5" s="1"/>
  <c r="V52" i="5" s="1"/>
  <c r="J51" i="5"/>
  <c r="V51" i="5" s="1"/>
  <c r="J30" i="11"/>
  <c r="K52" i="5" s="1"/>
  <c r="W52" i="5" s="1"/>
  <c r="K51" i="5"/>
  <c r="W51" i="5" s="1"/>
  <c r="E20" i="11"/>
  <c r="H41" i="5"/>
  <c r="T41" i="5" s="1"/>
  <c r="F41" i="5"/>
  <c r="R41" i="5" s="1"/>
  <c r="D20" i="11"/>
  <c r="C20" i="11"/>
  <c r="G41" i="5"/>
  <c r="S41" i="5" s="1"/>
  <c r="S14" i="11"/>
  <c r="P35" i="5"/>
  <c r="AB35" i="5" s="1"/>
  <c r="R14" i="11"/>
  <c r="N35" i="5"/>
  <c r="Z35" i="5" s="1"/>
  <c r="L35" i="5"/>
  <c r="X35" i="5" s="1"/>
  <c r="L14" i="11"/>
  <c r="J35" i="5"/>
  <c r="V35" i="5" s="1"/>
  <c r="K14" i="11"/>
  <c r="O34" i="5"/>
  <c r="AA34" i="5" s="1"/>
  <c r="Q13" i="11"/>
  <c r="J13" i="11"/>
  <c r="K34" i="5"/>
  <c r="W34" i="5" s="1"/>
  <c r="L30" i="10"/>
  <c r="L52" i="4" s="1"/>
  <c r="X52" i="4" s="1"/>
  <c r="L51" i="4"/>
  <c r="X51" i="4" s="1"/>
  <c r="K30" i="10"/>
  <c r="J52" i="4" s="1"/>
  <c r="V52" i="4" s="1"/>
  <c r="J51" i="4"/>
  <c r="V51" i="4" s="1"/>
  <c r="J30" i="10"/>
  <c r="K52" i="4" s="1"/>
  <c r="W52" i="4" s="1"/>
  <c r="K51" i="4"/>
  <c r="W51" i="4" s="1"/>
  <c r="E20" i="10"/>
  <c r="H41" i="4"/>
  <c r="T41" i="4" s="1"/>
  <c r="D20" i="10"/>
  <c r="F41" i="4"/>
  <c r="R41" i="4" s="1"/>
  <c r="G41" i="4"/>
  <c r="S41" i="4" s="1"/>
  <c r="C20" i="10"/>
  <c r="P35" i="4"/>
  <c r="AB35" i="4" s="1"/>
  <c r="S14" i="10"/>
  <c r="N35" i="4"/>
  <c r="Z35" i="4" s="1"/>
  <c r="R14" i="10"/>
  <c r="O35" i="4"/>
  <c r="AA35" i="4" s="1"/>
  <c r="Q14" i="10"/>
  <c r="L29" i="9"/>
  <c r="L50" i="3"/>
  <c r="X50" i="3" s="1"/>
  <c r="J50" i="3"/>
  <c r="V50" i="3" s="1"/>
  <c r="K29" i="9"/>
  <c r="K50" i="3"/>
  <c r="W50" i="3" s="1"/>
  <c r="J29" i="9"/>
  <c r="E19" i="9"/>
  <c r="H40" i="3"/>
  <c r="T40" i="3" s="1"/>
  <c r="D19" i="9"/>
  <c r="F40" i="3"/>
  <c r="R40" i="3" s="1"/>
  <c r="C19" i="9"/>
  <c r="G40" i="3"/>
  <c r="S40" i="3" s="1"/>
  <c r="S13" i="9"/>
  <c r="P34" i="3"/>
  <c r="AB34" i="3" s="1"/>
  <c r="R13" i="9"/>
  <c r="N34" i="3"/>
  <c r="Z34" i="3" s="1"/>
  <c r="O34" i="3"/>
  <c r="AA34" i="3" s="1"/>
  <c r="Q13" i="9"/>
  <c r="E21" i="11" l="1"/>
  <c r="H42" i="5"/>
  <c r="T42" i="5" s="1"/>
  <c r="D21" i="11"/>
  <c r="F42" i="5"/>
  <c r="R42" i="5" s="1"/>
  <c r="G42" i="5"/>
  <c r="S42" i="5" s="1"/>
  <c r="C21" i="11"/>
  <c r="P36" i="5"/>
  <c r="AB36" i="5" s="1"/>
  <c r="S15" i="11"/>
  <c r="N36" i="5"/>
  <c r="Z36" i="5" s="1"/>
  <c r="R15" i="11"/>
  <c r="L15" i="11"/>
  <c r="L36" i="5"/>
  <c r="X36" i="5" s="1"/>
  <c r="K15" i="11"/>
  <c r="J36" i="5"/>
  <c r="V36" i="5" s="1"/>
  <c r="O35" i="5"/>
  <c r="AA35" i="5" s="1"/>
  <c r="Q14" i="11"/>
  <c r="K35" i="5"/>
  <c r="W35" i="5" s="1"/>
  <c r="J14" i="11"/>
  <c r="E21" i="10"/>
  <c r="H42" i="4"/>
  <c r="T42" i="4" s="1"/>
  <c r="D21" i="10"/>
  <c r="F42" i="4"/>
  <c r="R42" i="4" s="1"/>
  <c r="G42" i="4"/>
  <c r="S42" i="4" s="1"/>
  <c r="C21" i="10"/>
  <c r="S15" i="10"/>
  <c r="P36" i="4"/>
  <c r="AB36" i="4" s="1"/>
  <c r="R15" i="10"/>
  <c r="N36" i="4"/>
  <c r="Z36" i="4" s="1"/>
  <c r="O36" i="4"/>
  <c r="AA36" i="4" s="1"/>
  <c r="Q15" i="10"/>
  <c r="L30" i="9"/>
  <c r="L52" i="3" s="1"/>
  <c r="X52" i="3" s="1"/>
  <c r="L51" i="3"/>
  <c r="X51" i="3" s="1"/>
  <c r="J51" i="3"/>
  <c r="V51" i="3" s="1"/>
  <c r="K30" i="9"/>
  <c r="J52" i="3" s="1"/>
  <c r="V52" i="3" s="1"/>
  <c r="J30" i="9"/>
  <c r="K52" i="3" s="1"/>
  <c r="W52" i="3" s="1"/>
  <c r="K51" i="3"/>
  <c r="W51" i="3" s="1"/>
  <c r="E20" i="9"/>
  <c r="H41" i="3"/>
  <c r="T41" i="3" s="1"/>
  <c r="F41" i="3"/>
  <c r="R41" i="3" s="1"/>
  <c r="D20" i="9"/>
  <c r="C20" i="9"/>
  <c r="G41" i="3"/>
  <c r="S41" i="3" s="1"/>
  <c r="P35" i="3"/>
  <c r="AB35" i="3" s="1"/>
  <c r="S14" i="9"/>
  <c r="R14" i="9"/>
  <c r="N35" i="3"/>
  <c r="Z35" i="3" s="1"/>
  <c r="Q14" i="9"/>
  <c r="O35" i="3"/>
  <c r="AA35" i="3" s="1"/>
  <c r="E22" i="11" l="1"/>
  <c r="H43" i="5"/>
  <c r="T43" i="5" s="1"/>
  <c r="D22" i="11"/>
  <c r="F43" i="5"/>
  <c r="R43" i="5" s="1"/>
  <c r="G43" i="5"/>
  <c r="S43" i="5" s="1"/>
  <c r="C22" i="11"/>
  <c r="S16" i="11"/>
  <c r="P37" i="5"/>
  <c r="AB37" i="5" s="1"/>
  <c r="R16" i="11"/>
  <c r="N37" i="5"/>
  <c r="Z37" i="5" s="1"/>
  <c r="L16" i="11"/>
  <c r="L37" i="5"/>
  <c r="X37" i="5" s="1"/>
  <c r="J37" i="5"/>
  <c r="V37" i="5" s="1"/>
  <c r="K16" i="11"/>
  <c r="O36" i="5"/>
  <c r="AA36" i="5" s="1"/>
  <c r="Q15" i="11"/>
  <c r="K36" i="5"/>
  <c r="W36" i="5" s="1"/>
  <c r="J15" i="11"/>
  <c r="E22" i="10"/>
  <c r="H43" i="4"/>
  <c r="T43" i="4" s="1"/>
  <c r="D22" i="10"/>
  <c r="F43" i="4"/>
  <c r="R43" i="4" s="1"/>
  <c r="C22" i="10"/>
  <c r="G43" i="4"/>
  <c r="S43" i="4" s="1"/>
  <c r="S16" i="10"/>
  <c r="P37" i="4"/>
  <c r="AB37" i="4" s="1"/>
  <c r="N37" i="4"/>
  <c r="Z37" i="4" s="1"/>
  <c r="R16" i="10"/>
  <c r="Q16" i="10"/>
  <c r="O37" i="4"/>
  <c r="AA37" i="4" s="1"/>
  <c r="E21" i="9"/>
  <c r="H42" i="3"/>
  <c r="T42" i="3" s="1"/>
  <c r="F42" i="3"/>
  <c r="R42" i="3" s="1"/>
  <c r="D21" i="9"/>
  <c r="C21" i="9"/>
  <c r="G42" i="3"/>
  <c r="S42" i="3" s="1"/>
  <c r="S15" i="9"/>
  <c r="P36" i="3"/>
  <c r="AB36" i="3" s="1"/>
  <c r="N36" i="3"/>
  <c r="Z36" i="3" s="1"/>
  <c r="R15" i="9"/>
  <c r="O36" i="3"/>
  <c r="AA36" i="3" s="1"/>
  <c r="Q15" i="9"/>
  <c r="E23" i="11" l="1"/>
  <c r="H44" i="5"/>
  <c r="T44" i="5" s="1"/>
  <c r="F44" i="5"/>
  <c r="R44" i="5" s="1"/>
  <c r="D23" i="11"/>
  <c r="G44" i="5"/>
  <c r="S44" i="5" s="1"/>
  <c r="C23" i="11"/>
  <c r="S17" i="11"/>
  <c r="P38" i="5"/>
  <c r="AB38" i="5" s="1"/>
  <c r="R17" i="11"/>
  <c r="N38" i="5"/>
  <c r="Z38" i="5" s="1"/>
  <c r="L38" i="5"/>
  <c r="X38" i="5" s="1"/>
  <c r="L17" i="11"/>
  <c r="K17" i="11"/>
  <c r="J38" i="5"/>
  <c r="V38" i="5" s="1"/>
  <c r="Q16" i="11"/>
  <c r="O37" i="5"/>
  <c r="AA37" i="5" s="1"/>
  <c r="K37" i="5"/>
  <c r="W37" i="5" s="1"/>
  <c r="J16" i="11"/>
  <c r="H44" i="4"/>
  <c r="T44" i="4" s="1"/>
  <c r="E23" i="10"/>
  <c r="D23" i="10"/>
  <c r="F44" i="4"/>
  <c r="R44" i="4" s="1"/>
  <c r="C23" i="10"/>
  <c r="G44" i="4"/>
  <c r="S44" i="4" s="1"/>
  <c r="P38" i="4"/>
  <c r="AB38" i="4" s="1"/>
  <c r="S17" i="10"/>
  <c r="N38" i="4"/>
  <c r="Z38" i="4" s="1"/>
  <c r="R17" i="10"/>
  <c r="Q17" i="10"/>
  <c r="O38" i="4"/>
  <c r="AA38" i="4" s="1"/>
  <c r="H43" i="3"/>
  <c r="T43" i="3" s="1"/>
  <c r="E22" i="9"/>
  <c r="D22" i="9"/>
  <c r="F43" i="3"/>
  <c r="R43" i="3" s="1"/>
  <c r="C22" i="9"/>
  <c r="G43" i="3"/>
  <c r="S43" i="3" s="1"/>
  <c r="S16" i="9"/>
  <c r="P37" i="3"/>
  <c r="AB37" i="3" s="1"/>
  <c r="R16" i="9"/>
  <c r="N37" i="3"/>
  <c r="Z37" i="3" s="1"/>
  <c r="O37" i="3"/>
  <c r="AA37" i="3" s="1"/>
  <c r="Q16" i="9"/>
  <c r="E24" i="11" l="1"/>
  <c r="H45" i="5"/>
  <c r="T45" i="5" s="1"/>
  <c r="D24" i="11"/>
  <c r="F45" i="5"/>
  <c r="R45" i="5" s="1"/>
  <c r="G45" i="5"/>
  <c r="S45" i="5" s="1"/>
  <c r="C24" i="11"/>
  <c r="P39" i="5"/>
  <c r="AB39" i="5" s="1"/>
  <c r="S18" i="11"/>
  <c r="N39" i="5"/>
  <c r="Z39" i="5" s="1"/>
  <c r="R18" i="11"/>
  <c r="L18" i="11"/>
  <c r="L39" i="5"/>
  <c r="X39" i="5" s="1"/>
  <c r="K18" i="11"/>
  <c r="J39" i="5"/>
  <c r="V39" i="5" s="1"/>
  <c r="Q17" i="11"/>
  <c r="O38" i="5"/>
  <c r="AA38" i="5" s="1"/>
  <c r="J17" i="11"/>
  <c r="K38" i="5"/>
  <c r="W38" i="5" s="1"/>
  <c r="H45" i="4"/>
  <c r="T45" i="4" s="1"/>
  <c r="E24" i="10"/>
  <c r="D24" i="10"/>
  <c r="F45" i="4"/>
  <c r="R45" i="4" s="1"/>
  <c r="G45" i="4"/>
  <c r="S45" i="4" s="1"/>
  <c r="C24" i="10"/>
  <c r="S18" i="10"/>
  <c r="P39" i="4"/>
  <c r="AB39" i="4" s="1"/>
  <c r="N39" i="4"/>
  <c r="Z39" i="4" s="1"/>
  <c r="R18" i="10"/>
  <c r="O39" i="4"/>
  <c r="AA39" i="4" s="1"/>
  <c r="Q18" i="10"/>
  <c r="E23" i="9"/>
  <c r="H44" i="3"/>
  <c r="T44" i="3" s="1"/>
  <c r="F44" i="3"/>
  <c r="R44" i="3" s="1"/>
  <c r="D23" i="9"/>
  <c r="G44" i="3"/>
  <c r="S44" i="3" s="1"/>
  <c r="C23" i="9"/>
  <c r="P38" i="3"/>
  <c r="AB38" i="3" s="1"/>
  <c r="S17" i="9"/>
  <c r="R17" i="9"/>
  <c r="N38" i="3"/>
  <c r="Z38" i="3" s="1"/>
  <c r="Q17" i="9"/>
  <c r="O38" i="3"/>
  <c r="AA38" i="3" s="1"/>
  <c r="E25" i="11" l="1"/>
  <c r="H46" i="5"/>
  <c r="T46" i="5" s="1"/>
  <c r="D25" i="11"/>
  <c r="F46" i="5"/>
  <c r="R46" i="5" s="1"/>
  <c r="C25" i="11"/>
  <c r="G46" i="5"/>
  <c r="S46" i="5" s="1"/>
  <c r="S19" i="11"/>
  <c r="P40" i="5"/>
  <c r="AB40" i="5" s="1"/>
  <c r="R19" i="11"/>
  <c r="N40" i="5"/>
  <c r="Z40" i="5" s="1"/>
  <c r="L19" i="11"/>
  <c r="L40" i="5"/>
  <c r="X40" i="5" s="1"/>
  <c r="K19" i="11"/>
  <c r="J40" i="5"/>
  <c r="V40" i="5" s="1"/>
  <c r="Q18" i="11"/>
  <c r="O39" i="5"/>
  <c r="AA39" i="5" s="1"/>
  <c r="K39" i="5"/>
  <c r="W39" i="5" s="1"/>
  <c r="J18" i="11"/>
  <c r="E25" i="10"/>
  <c r="H46" i="4"/>
  <c r="T46" i="4" s="1"/>
  <c r="D25" i="10"/>
  <c r="F46" i="4"/>
  <c r="R46" i="4" s="1"/>
  <c r="G46" i="4"/>
  <c r="S46" i="4" s="1"/>
  <c r="C25" i="10"/>
  <c r="S19" i="10"/>
  <c r="P40" i="4"/>
  <c r="AB40" i="4" s="1"/>
  <c r="R19" i="10"/>
  <c r="N40" i="4"/>
  <c r="Z40" i="4" s="1"/>
  <c r="Q19" i="10"/>
  <c r="O40" i="4"/>
  <c r="AA40" i="4" s="1"/>
  <c r="H45" i="3"/>
  <c r="T45" i="3" s="1"/>
  <c r="E24" i="9"/>
  <c r="F45" i="3"/>
  <c r="R45" i="3" s="1"/>
  <c r="D24" i="9"/>
  <c r="C24" i="9"/>
  <c r="G45" i="3"/>
  <c r="S45" i="3" s="1"/>
  <c r="S18" i="9"/>
  <c r="P39" i="3"/>
  <c r="AB39" i="3" s="1"/>
  <c r="R18" i="9"/>
  <c r="N39" i="3"/>
  <c r="Z39" i="3" s="1"/>
  <c r="O39" i="3"/>
  <c r="AA39" i="3" s="1"/>
  <c r="Q18" i="9"/>
  <c r="H47" i="5" l="1"/>
  <c r="T47" i="5" s="1"/>
  <c r="E26" i="11"/>
  <c r="D26" i="11"/>
  <c r="F47" i="5"/>
  <c r="R47" i="5" s="1"/>
  <c r="C26" i="11"/>
  <c r="G47" i="5"/>
  <c r="S47" i="5" s="1"/>
  <c r="P41" i="5"/>
  <c r="AB41" i="5" s="1"/>
  <c r="S20" i="11"/>
  <c r="R20" i="11"/>
  <c r="N41" i="5"/>
  <c r="Z41" i="5" s="1"/>
  <c r="L20" i="11"/>
  <c r="L42" i="5" s="1"/>
  <c r="X42" i="5" s="1"/>
  <c r="L41" i="5"/>
  <c r="X41" i="5" s="1"/>
  <c r="J41" i="5"/>
  <c r="V41" i="5" s="1"/>
  <c r="K20" i="11"/>
  <c r="J42" i="5" s="1"/>
  <c r="V42" i="5" s="1"/>
  <c r="O40" i="5"/>
  <c r="AA40" i="5" s="1"/>
  <c r="Q19" i="11"/>
  <c r="J19" i="11"/>
  <c r="K40" i="5"/>
  <c r="W40" i="5" s="1"/>
  <c r="E26" i="10"/>
  <c r="H47" i="4"/>
  <c r="T47" i="4" s="1"/>
  <c r="D26" i="10"/>
  <c r="F47" i="4"/>
  <c r="R47" i="4" s="1"/>
  <c r="G47" i="4"/>
  <c r="S47" i="4" s="1"/>
  <c r="C26" i="10"/>
  <c r="S20" i="10"/>
  <c r="P41" i="4"/>
  <c r="AB41" i="4" s="1"/>
  <c r="N41" i="4"/>
  <c r="Z41" i="4" s="1"/>
  <c r="R20" i="10"/>
  <c r="Q20" i="10"/>
  <c r="O41" i="4"/>
  <c r="AA41" i="4" s="1"/>
  <c r="E25" i="9"/>
  <c r="H46" i="3"/>
  <c r="T46" i="3" s="1"/>
  <c r="D25" i="9"/>
  <c r="F46" i="3"/>
  <c r="R46" i="3" s="1"/>
  <c r="G46" i="3"/>
  <c r="S46" i="3" s="1"/>
  <c r="C25" i="9"/>
  <c r="P40" i="3"/>
  <c r="AB40" i="3" s="1"/>
  <c r="S19" i="9"/>
  <c r="N40" i="3"/>
  <c r="Z40" i="3" s="1"/>
  <c r="R19" i="9"/>
  <c r="O40" i="3"/>
  <c r="AA40" i="3" s="1"/>
  <c r="Q19" i="9"/>
  <c r="H48" i="5" l="1"/>
  <c r="T48" i="5" s="1"/>
  <c r="E27" i="11"/>
  <c r="F48" i="5"/>
  <c r="R48" i="5" s="1"/>
  <c r="D27" i="11"/>
  <c r="C27" i="11"/>
  <c r="G48" i="5"/>
  <c r="S48" i="5" s="1"/>
  <c r="S21" i="11"/>
  <c r="P42" i="5"/>
  <c r="AB42" i="5" s="1"/>
  <c r="R21" i="11"/>
  <c r="N42" i="5"/>
  <c r="Z42" i="5" s="1"/>
  <c r="Q20" i="11"/>
  <c r="O41" i="5"/>
  <c r="AA41" i="5" s="1"/>
  <c r="K41" i="5"/>
  <c r="W41" i="5" s="1"/>
  <c r="J20" i="11"/>
  <c r="K42" i="5" s="1"/>
  <c r="W42" i="5" s="1"/>
  <c r="H48" i="4"/>
  <c r="T48" i="4" s="1"/>
  <c r="E27" i="10"/>
  <c r="F48" i="4"/>
  <c r="R48" i="4" s="1"/>
  <c r="D27" i="10"/>
  <c r="G48" i="4"/>
  <c r="S48" i="4" s="1"/>
  <c r="C27" i="10"/>
  <c r="P42" i="4"/>
  <c r="AB42" i="4" s="1"/>
  <c r="S21" i="10"/>
  <c r="N42" i="4"/>
  <c r="Z42" i="4" s="1"/>
  <c r="R21" i="10"/>
  <c r="O42" i="4"/>
  <c r="AA42" i="4" s="1"/>
  <c r="Q21" i="10"/>
  <c r="H47" i="3"/>
  <c r="T47" i="3" s="1"/>
  <c r="E26" i="9"/>
  <c r="F47" i="3"/>
  <c r="R47" i="3" s="1"/>
  <c r="D26" i="9"/>
  <c r="G47" i="3"/>
  <c r="S47" i="3" s="1"/>
  <c r="C26" i="9"/>
  <c r="S20" i="9"/>
  <c r="P41" i="3"/>
  <c r="AB41" i="3" s="1"/>
  <c r="R20" i="9"/>
  <c r="N41" i="3"/>
  <c r="Z41" i="3" s="1"/>
  <c r="Q20" i="9"/>
  <c r="O41" i="3"/>
  <c r="AA41" i="3" s="1"/>
  <c r="E28" i="11" l="1"/>
  <c r="H49" i="5"/>
  <c r="T49" i="5" s="1"/>
  <c r="D28" i="11"/>
  <c r="F49" i="5"/>
  <c r="R49" i="5" s="1"/>
  <c r="C28" i="11"/>
  <c r="G49" i="5"/>
  <c r="S49" i="5" s="1"/>
  <c r="P43" i="5"/>
  <c r="AB43" i="5" s="1"/>
  <c r="S22" i="11"/>
  <c r="N43" i="5"/>
  <c r="Z43" i="5" s="1"/>
  <c r="R22" i="11"/>
  <c r="O42" i="5"/>
  <c r="AA42" i="5" s="1"/>
  <c r="Q21" i="11"/>
  <c r="H49" i="4"/>
  <c r="T49" i="4" s="1"/>
  <c r="E28" i="10"/>
  <c r="D28" i="10"/>
  <c r="F49" i="4"/>
  <c r="R49" i="4" s="1"/>
  <c r="C28" i="10"/>
  <c r="G49" i="4"/>
  <c r="S49" i="4" s="1"/>
  <c r="P43" i="4"/>
  <c r="AB43" i="4" s="1"/>
  <c r="S22" i="10"/>
  <c r="R22" i="10"/>
  <c r="N43" i="4"/>
  <c r="Z43" i="4" s="1"/>
  <c r="O43" i="4"/>
  <c r="AA43" i="4" s="1"/>
  <c r="Q22" i="10"/>
  <c r="E27" i="9"/>
  <c r="H48" i="3"/>
  <c r="T48" i="3" s="1"/>
  <c r="D27" i="9"/>
  <c r="F48" i="3"/>
  <c r="R48" i="3" s="1"/>
  <c r="C27" i="9"/>
  <c r="G48" i="3"/>
  <c r="S48" i="3" s="1"/>
  <c r="P42" i="3"/>
  <c r="AB42" i="3" s="1"/>
  <c r="S21" i="9"/>
  <c r="N42" i="3"/>
  <c r="Z42" i="3" s="1"/>
  <c r="R21" i="9"/>
  <c r="Q21" i="9"/>
  <c r="O42" i="3"/>
  <c r="AA42" i="3" s="1"/>
  <c r="E29" i="11" l="1"/>
  <c r="H50" i="5"/>
  <c r="T50" i="5" s="1"/>
  <c r="D29" i="11"/>
  <c r="F50" i="5"/>
  <c r="R50" i="5" s="1"/>
  <c r="G50" i="5"/>
  <c r="S50" i="5" s="1"/>
  <c r="C29" i="11"/>
  <c r="S23" i="11"/>
  <c r="P44" i="5"/>
  <c r="AB44" i="5" s="1"/>
  <c r="R23" i="11"/>
  <c r="N44" i="5"/>
  <c r="Z44" i="5" s="1"/>
  <c r="Q22" i="11"/>
  <c r="O43" i="5"/>
  <c r="AA43" i="5" s="1"/>
  <c r="H50" i="4"/>
  <c r="T50" i="4" s="1"/>
  <c r="E29" i="10"/>
  <c r="D29" i="10"/>
  <c r="F50" i="4"/>
  <c r="R50" i="4" s="1"/>
  <c r="G50" i="4"/>
  <c r="S50" i="4" s="1"/>
  <c r="C29" i="10"/>
  <c r="S23" i="10"/>
  <c r="P44" i="4"/>
  <c r="AB44" i="4" s="1"/>
  <c r="R23" i="10"/>
  <c r="N44" i="4"/>
  <c r="Z44" i="4" s="1"/>
  <c r="Q23" i="10"/>
  <c r="O44" i="4"/>
  <c r="AA44" i="4" s="1"/>
  <c r="H49" i="3"/>
  <c r="T49" i="3" s="1"/>
  <c r="E28" i="9"/>
  <c r="D28" i="9"/>
  <c r="F49" i="3"/>
  <c r="R49" i="3" s="1"/>
  <c r="C28" i="9"/>
  <c r="G49" i="3"/>
  <c r="S49" i="3" s="1"/>
  <c r="S22" i="9"/>
  <c r="P43" i="3"/>
  <c r="AB43" i="3" s="1"/>
  <c r="N43" i="3"/>
  <c r="Z43" i="3" s="1"/>
  <c r="R22" i="9"/>
  <c r="O43" i="3"/>
  <c r="AA43" i="3" s="1"/>
  <c r="Q22" i="9"/>
  <c r="H51" i="5" l="1"/>
  <c r="T51" i="5" s="1"/>
  <c r="E30" i="11"/>
  <c r="H52" i="5" s="1"/>
  <c r="T52" i="5" s="1"/>
  <c r="D30" i="11"/>
  <c r="F52" i="5" s="1"/>
  <c r="R52" i="5" s="1"/>
  <c r="F51" i="5"/>
  <c r="R51" i="5" s="1"/>
  <c r="C30" i="11"/>
  <c r="G52" i="5" s="1"/>
  <c r="S52" i="5" s="1"/>
  <c r="G51" i="5"/>
  <c r="S51" i="5" s="1"/>
  <c r="S24" i="11"/>
  <c r="P45" i="5"/>
  <c r="AB45" i="5" s="1"/>
  <c r="R24" i="11"/>
  <c r="N45" i="5"/>
  <c r="Z45" i="5" s="1"/>
  <c r="Q23" i="11"/>
  <c r="O44" i="5"/>
  <c r="AA44" i="5" s="1"/>
  <c r="E30" i="10"/>
  <c r="H52" i="4" s="1"/>
  <c r="T52" i="4" s="1"/>
  <c r="H51" i="4"/>
  <c r="T51" i="4" s="1"/>
  <c r="F51" i="4"/>
  <c r="R51" i="4" s="1"/>
  <c r="D30" i="10"/>
  <c r="F52" i="4" s="1"/>
  <c r="R52" i="4" s="1"/>
  <c r="G51" i="4"/>
  <c r="S51" i="4" s="1"/>
  <c r="C30" i="10"/>
  <c r="G52" i="4" s="1"/>
  <c r="S52" i="4" s="1"/>
  <c r="S24" i="10"/>
  <c r="P45" i="4"/>
  <c r="AB45" i="4" s="1"/>
  <c r="R24" i="10"/>
  <c r="N45" i="4"/>
  <c r="Z45" i="4" s="1"/>
  <c r="O45" i="4"/>
  <c r="AA45" i="4" s="1"/>
  <c r="Q24" i="10"/>
  <c r="E29" i="9"/>
  <c r="H50" i="3"/>
  <c r="T50" i="3" s="1"/>
  <c r="F50" i="3"/>
  <c r="R50" i="3" s="1"/>
  <c r="D29" i="9"/>
  <c r="G50" i="3"/>
  <c r="S50" i="3" s="1"/>
  <c r="C29" i="9"/>
  <c r="P44" i="3"/>
  <c r="AB44" i="3" s="1"/>
  <c r="S23" i="9"/>
  <c r="R23" i="9"/>
  <c r="N44" i="3"/>
  <c r="Z44" i="3" s="1"/>
  <c r="Q23" i="9"/>
  <c r="O44" i="3"/>
  <c r="AA44" i="3" s="1"/>
  <c r="P46" i="5" l="1"/>
  <c r="AB46" i="5" s="1"/>
  <c r="S25" i="11"/>
  <c r="R25" i="11"/>
  <c r="N46" i="5"/>
  <c r="Z46" i="5" s="1"/>
  <c r="Q24" i="11"/>
  <c r="O45" i="5"/>
  <c r="AA45" i="5" s="1"/>
  <c r="S25" i="10"/>
  <c r="P46" i="4"/>
  <c r="AB46" i="4" s="1"/>
  <c r="N46" i="4"/>
  <c r="Z46" i="4" s="1"/>
  <c r="R25" i="10"/>
  <c r="Q25" i="10"/>
  <c r="O46" i="4"/>
  <c r="AA46" i="4" s="1"/>
  <c r="E30" i="9"/>
  <c r="H52" i="3" s="1"/>
  <c r="T52" i="3" s="1"/>
  <c r="H51" i="3"/>
  <c r="T51" i="3" s="1"/>
  <c r="F51" i="3"/>
  <c r="R51" i="3" s="1"/>
  <c r="D30" i="9"/>
  <c r="F52" i="3" s="1"/>
  <c r="R52" i="3" s="1"/>
  <c r="C30" i="9"/>
  <c r="G52" i="3" s="1"/>
  <c r="S52" i="3" s="1"/>
  <c r="G51" i="3"/>
  <c r="S51" i="3" s="1"/>
  <c r="S24" i="9"/>
  <c r="P45" i="3"/>
  <c r="AB45" i="3" s="1"/>
  <c r="R24" i="9"/>
  <c r="N45" i="3"/>
  <c r="Z45" i="3" s="1"/>
  <c r="O45" i="3"/>
  <c r="AA45" i="3" s="1"/>
  <c r="Q24" i="9"/>
  <c r="S26" i="11" l="1"/>
  <c r="P47" i="5"/>
  <c r="AB47" i="5" s="1"/>
  <c r="R26" i="11"/>
  <c r="N47" i="5"/>
  <c r="Z47" i="5" s="1"/>
  <c r="O46" i="5"/>
  <c r="AA46" i="5" s="1"/>
  <c r="Q25" i="11"/>
  <c r="S26" i="10"/>
  <c r="P47" i="4"/>
  <c r="AB47" i="4" s="1"/>
  <c r="N47" i="4"/>
  <c r="Z47" i="4" s="1"/>
  <c r="R26" i="10"/>
  <c r="O47" i="4"/>
  <c r="AA47" i="4" s="1"/>
  <c r="Q26" i="10"/>
  <c r="S25" i="9"/>
  <c r="P46" i="3"/>
  <c r="AB46" i="3" s="1"/>
  <c r="R25" i="9"/>
  <c r="N46" i="3"/>
  <c r="Z46" i="3" s="1"/>
  <c r="Q25" i="9"/>
  <c r="O46" i="3"/>
  <c r="AA46" i="3" s="1"/>
  <c r="S27" i="11" l="1"/>
  <c r="P48" i="5"/>
  <c r="AB48" i="5" s="1"/>
  <c r="R27" i="11"/>
  <c r="N48" i="5"/>
  <c r="Z48" i="5" s="1"/>
  <c r="O47" i="5"/>
  <c r="AA47" i="5" s="1"/>
  <c r="Q26" i="11"/>
  <c r="P48" i="4"/>
  <c r="AB48" i="4" s="1"/>
  <c r="S27" i="10"/>
  <c r="R27" i="10"/>
  <c r="N48" i="4"/>
  <c r="Z48" i="4" s="1"/>
  <c r="O48" i="4"/>
  <c r="AA48" i="4" s="1"/>
  <c r="Q27" i="10"/>
  <c r="P47" i="3"/>
  <c r="AB47" i="3" s="1"/>
  <c r="S26" i="9"/>
  <c r="N47" i="3"/>
  <c r="Z47" i="3" s="1"/>
  <c r="R26" i="9"/>
  <c r="Q26" i="9"/>
  <c r="O47" i="3"/>
  <c r="AA47" i="3" s="1"/>
  <c r="S28" i="11" l="1"/>
  <c r="P49" i="5"/>
  <c r="AB49" i="5" s="1"/>
  <c r="R28" i="11"/>
  <c r="N49" i="5"/>
  <c r="Z49" i="5" s="1"/>
  <c r="Q27" i="11"/>
  <c r="O48" i="5"/>
  <c r="AA48" i="5" s="1"/>
  <c r="S28" i="10"/>
  <c r="P49" i="4"/>
  <c r="AB49" i="4" s="1"/>
  <c r="N49" i="4"/>
  <c r="Z49" i="4" s="1"/>
  <c r="R28" i="10"/>
  <c r="Q28" i="10"/>
  <c r="O49" i="4"/>
  <c r="AA49" i="4" s="1"/>
  <c r="P48" i="3"/>
  <c r="AB48" i="3" s="1"/>
  <c r="S27" i="9"/>
  <c r="N48" i="3"/>
  <c r="Z48" i="3" s="1"/>
  <c r="R27" i="9"/>
  <c r="Q27" i="9"/>
  <c r="O48" i="3"/>
  <c r="AA48" i="3" s="1"/>
  <c r="P50" i="5" l="1"/>
  <c r="AB50" i="5" s="1"/>
  <c r="S29" i="11"/>
  <c r="N50" i="5"/>
  <c r="Z50" i="5" s="1"/>
  <c r="R29" i="11"/>
  <c r="Q28" i="11"/>
  <c r="O49" i="5"/>
  <c r="AA49" i="5" s="1"/>
  <c r="S29" i="10"/>
  <c r="P50" i="4"/>
  <c r="AB50" i="4" s="1"/>
  <c r="R29" i="10"/>
  <c r="N50" i="4"/>
  <c r="Z50" i="4" s="1"/>
  <c r="O50" i="4"/>
  <c r="AA50" i="4" s="1"/>
  <c r="Q29" i="10"/>
  <c r="S28" i="9"/>
  <c r="P49" i="3"/>
  <c r="AB49" i="3" s="1"/>
  <c r="N49" i="3"/>
  <c r="Z49" i="3" s="1"/>
  <c r="R28" i="9"/>
  <c r="O49" i="3"/>
  <c r="AA49" i="3" s="1"/>
  <c r="Q28" i="9"/>
  <c r="S30" i="11" l="1"/>
  <c r="P52" i="5" s="1"/>
  <c r="AB52" i="5" s="1"/>
  <c r="P51" i="5"/>
  <c r="AB51" i="5" s="1"/>
  <c r="R30" i="11"/>
  <c r="N52" i="5" s="1"/>
  <c r="Z52" i="5" s="1"/>
  <c r="N51" i="5"/>
  <c r="Z51" i="5" s="1"/>
  <c r="Q29" i="11"/>
  <c r="O50" i="5"/>
  <c r="AA50" i="5" s="1"/>
  <c r="P51" i="4"/>
  <c r="AB51" i="4" s="1"/>
  <c r="S30" i="10"/>
  <c r="P52" i="4" s="1"/>
  <c r="AB52" i="4" s="1"/>
  <c r="N51" i="4"/>
  <c r="Z51" i="4" s="1"/>
  <c r="R30" i="10"/>
  <c r="N52" i="4" s="1"/>
  <c r="Z52" i="4" s="1"/>
  <c r="Q30" i="10"/>
  <c r="O52" i="4" s="1"/>
  <c r="AA52" i="4" s="1"/>
  <c r="O51" i="4"/>
  <c r="AA51" i="4" s="1"/>
  <c r="S29" i="9"/>
  <c r="P50" i="3"/>
  <c r="AB50" i="3" s="1"/>
  <c r="N50" i="3"/>
  <c r="Z50" i="3" s="1"/>
  <c r="R29" i="9"/>
  <c r="O50" i="3"/>
  <c r="AA50" i="3" s="1"/>
  <c r="Q29" i="9"/>
  <c r="Q30" i="11" l="1"/>
  <c r="O52" i="5" s="1"/>
  <c r="AA52" i="5" s="1"/>
  <c r="O51" i="5"/>
  <c r="AA51" i="5" s="1"/>
  <c r="S30" i="9"/>
  <c r="P52" i="3" s="1"/>
  <c r="AB52" i="3" s="1"/>
  <c r="P51" i="3"/>
  <c r="AB51" i="3" s="1"/>
  <c r="N51" i="3"/>
  <c r="Z51" i="3" s="1"/>
  <c r="R30" i="9"/>
  <c r="N52" i="3" s="1"/>
  <c r="Z52" i="3" s="1"/>
  <c r="Q30" i="9"/>
  <c r="O52" i="3" s="1"/>
  <c r="AA52" i="3" s="1"/>
  <c r="O51" i="3"/>
  <c r="AA51" i="3" s="1"/>
</calcChain>
</file>

<file path=xl/sharedStrings.xml><?xml version="1.0" encoding="utf-8"?>
<sst xmlns="http://schemas.openxmlformats.org/spreadsheetml/2006/main" count="2690" uniqueCount="689">
  <si>
    <t>Assumptions for SEI Scenarios</t>
  </si>
  <si>
    <t>JRC-IDEES 2023 country-specific fossil energy splits + efficiency gain parameters</t>
  </si>
  <si>
    <t>GLOBAL EFFICIENCY ASSUMPTIONS</t>
  </si>
  <si>
    <t>Parameter</t>
  </si>
  <si>
    <t>Value</t>
  </si>
  <si>
    <t>Description</t>
  </si>
  <si>
    <t>Reference</t>
  </si>
  <si>
    <t>J_diesel (work/motors)</t>
  </si>
  <si>
    <t>Electric motors ~90% eff vs diesel ~35%. Indicative: 2-3x</t>
  </si>
  <si>
    <t>J_lowT (heat &lt;200°C)</t>
  </si>
  <si>
    <t>Heat pumps COP 3-5 vs gas boilers 80-90%. Indicative: 2.5-4x</t>
  </si>
  <si>
    <t>J_highT (heat &gt;500°C)</t>
  </si>
  <si>
    <t>Electric arc/induction 80-95% vs combustion 40-60%. Indicative: 1.3-2x</t>
  </si>
  <si>
    <t>Transitition rate parameter</t>
  </si>
  <si>
    <t>Estonia</t>
  </si>
  <si>
    <r>
      <t xml:space="preserve">Describes the sharpness of transition for the sigmoid curve (0.1 </t>
    </r>
    <r>
      <rPr>
        <sz val="11"/>
        <color theme="1"/>
        <rFont val="Aptos Narrow"/>
        <family val="2"/>
      </rPr>
      <t>≈</t>
    </r>
    <r>
      <rPr>
        <sz val="11"/>
        <color theme="1"/>
        <rFont val="Calibri"/>
        <family val="2"/>
        <charset val="1"/>
      </rPr>
      <t xml:space="preserve"> Linear, 0.3 = "steady" sigmoid, &gt;=1 = "Step like"</t>
    </r>
  </si>
  <si>
    <t>Latvia</t>
  </si>
  <si>
    <t>Lithuania</t>
  </si>
  <si>
    <t>Industrial efficiency assumptions</t>
  </si>
  <si>
    <t>ESTONIA: NON-ELECTRIC (FOSSIL) ENERGY SPLITS FROM JRC-IDEES 2023</t>
  </si>
  <si>
    <t>Source: JRC-IDEES-2023_Industry_EE.xlsx (process-level _fec sheets, average last 5 years)</t>
  </si>
  <si>
    <t>Now validated: See separate excel</t>
  </si>
  <si>
    <t>Subsector</t>
  </si>
  <si>
    <t>Diesel/motors share</t>
  </si>
  <si>
    <t>Low-T heat share</t>
  </si>
  <si>
    <t>High-T heat share</t>
  </si>
  <si>
    <t>Fossil energy (ktoe)</t>
  </si>
  <si>
    <t>Electric energy (ktoe)</t>
  </si>
  <si>
    <t>Composite J</t>
  </si>
  <si>
    <t>Model row</t>
  </si>
  <si>
    <t>Notes</t>
  </si>
  <si>
    <t>Iron &amp; steel</t>
  </si>
  <si>
    <t>empty, assume all HT</t>
  </si>
  <si>
    <t>Chemical</t>
  </si>
  <si>
    <t>Non-ferrous metals</t>
  </si>
  <si>
    <t>Other non-metallic minerals</t>
  </si>
  <si>
    <t>Transport equipment</t>
  </si>
  <si>
    <t>Machinery</t>
  </si>
  <si>
    <t>Mining &amp; quarrying</t>
  </si>
  <si>
    <t>No data found; assumption mostly work</t>
  </si>
  <si>
    <t>Food, beverages &amp; tobacco</t>
  </si>
  <si>
    <t>Pulp, paper &amp; printing</t>
  </si>
  <si>
    <t>Wood &amp; wood products</t>
  </si>
  <si>
    <t>Construction</t>
  </si>
  <si>
    <t>Textile, leather &amp; clothing</t>
  </si>
  <si>
    <t>Other industries</t>
  </si>
  <si>
    <t>Latvia: NON-ELECTRIC (FOSSIL) ENERGY SPLITS FROM JRC-IDEES 2023</t>
  </si>
  <si>
    <t>Source: JRC-IDEES-2023_Industry_LV.xlsx (process-level _fec sheets, average last 5 years)</t>
  </si>
  <si>
    <t>empty, assume EE</t>
  </si>
  <si>
    <t>Lithuania: NON-ELECTRIC (FOSSIL) ENERGY SPLITS FROM JRC-IDEES 2023</t>
  </si>
  <si>
    <t>Source: JRC-IDEES-2023_Industry_LT.xlsx (process-level _fec sheets, average last 5 years)</t>
  </si>
  <si>
    <t>METHODOLOGY NOTES</t>
  </si>
  <si>
    <t>1. Yellow cells: global assumptions (efficiency and transition "rate"; editable). Change these to test sensitivity.</t>
  </si>
  <si>
    <t>2. Orange cells: JRC-IDEES country-specific fossil energy splits (editable per country).</t>
  </si>
  <si>
    <t>3. Green cells: composite J calculated from splits and global assumptions.</t>
  </si>
  <si>
    <t>4. Composite J = 1/(diesel_share/J_diesel + lowT_share/J_lowT + highT_share/J_highT)</t>
  </si>
  <si>
    <t>5. J applies only to FOSSIL energy being converted. Already-electric processes are excluded.</t>
  </si>
  <si>
    <t>CONVERSION LOGIC (electrified energy in scenario sheets):</t>
  </si>
  <si>
    <t>6. Column G = Nordic benchmark electrification rate (ENERGY basis from Eurostat).</t>
  </si>
  <si>
    <t>7. Column L = Same target converted to ACTIVITY basis using J.</t>
  </si>
  <si>
    <t>8. Formula: L = G * J / (1 + G * (J - 1))</t>
  </si>
  <si>
    <t>9. When J=1: L=G (no conversion needed). When J&gt;1: L&gt;G (more activities must electrify</t>
  </si>
  <si>
    <t xml:space="preserve">   because electricity is more efficient, so a given energy share implies more activity switched).</t>
  </si>
  <si>
    <t>10. The sigmoid in the projections transitions from F (current activity) to L (target activity).</t>
  </si>
  <si>
    <t>11. The BM formula then converts activity share back to energy share using J.</t>
  </si>
  <si>
    <t>CIRCULARITY CAVEAT:</t>
  </si>
  <si>
    <t>12. This conversion uses e.g  J_Estonia (the efficiency gain applicable to Estonian process mix).</t>
  </si>
  <si>
    <t>13. Strictly, converting the Nordic energy benchmark should use J_Nordic (the benchmark country's</t>
  </si>
  <si>
    <t xml:space="preserve">    own process mix). Using J_Estonia assumes similar within-subsector process mixes across countries.</t>
  </si>
  <si>
    <t xml:space="preserve">Estonia </t>
  </si>
  <si>
    <t>Years</t>
  </si>
  <si>
    <t>Population</t>
  </si>
  <si>
    <t> Years</t>
  </si>
  <si>
    <t>Year</t>
  </si>
  <si>
    <t>1,328,889</t>
  </si>
  <si>
    <t>1,330,068</t>
  </si>
  <si>
    <t>1,331,796</t>
  </si>
  <si>
    <t>1,365,884</t>
  </si>
  <si>
    <t>1,374,687</t>
  </si>
  <si>
    <t>1,369,995</t>
  </si>
  <si>
    <t>1,362,954</t>
  </si>
  <si>
    <t>1,366,691</t>
  </si>
  <si>
    <t>1,362,698</t>
  </si>
  <si>
    <t>1,358,831</t>
  </si>
  <si>
    <t>1,355,488</t>
  </si>
  <si>
    <t>1,352,442</t>
  </si>
  <si>
    <t>1,349,611</t>
  </si>
  <si>
    <t>1,346,997</t>
  </si>
  <si>
    <t>1,344,628</t>
  </si>
  <si>
    <t>1,342,535</t>
  </si>
  <si>
    <t>2035</t>
  </si>
  <si>
    <t>1,340,931</t>
  </si>
  <si>
    <t>2036</t>
  </si>
  <si>
    <t>1,339,374</t>
  </si>
  <si>
    <t>2037</t>
  </si>
  <si>
    <t>1,337,887</t>
  </si>
  <si>
    <t>2038</t>
  </si>
  <si>
    <t>1,336,455</t>
  </si>
  <si>
    <t>2039</t>
  </si>
  <si>
    <t>1,335,056</t>
  </si>
  <si>
    <t>2040</t>
  </si>
  <si>
    <t>1,333,674</t>
  </si>
  <si>
    <t>2041</t>
  </si>
  <si>
    <t>1,332,264</t>
  </si>
  <si>
    <t>2042</t>
  </si>
  <si>
    <t>1,330,810</t>
  </si>
  <si>
    <t>2043</t>
  </si>
  <si>
    <t>1,329,282</t>
  </si>
  <si>
    <t>2044</t>
  </si>
  <si>
    <t>1,327,682</t>
  </si>
  <si>
    <t>2045</t>
  </si>
  <si>
    <t>1,325,992</t>
  </si>
  <si>
    <t>2046</t>
  </si>
  <si>
    <t>1,324,200</t>
  </si>
  <si>
    <t>2047</t>
  </si>
  <si>
    <t>1,322,299</t>
  </si>
  <si>
    <t>2048</t>
  </si>
  <si>
    <t>1,320,269</t>
  </si>
  <si>
    <t>2049</t>
  </si>
  <si>
    <t>1,318,087</t>
  </si>
  <si>
    <t>2050</t>
  </si>
  <si>
    <t>Total FEC, GWh</t>
  </si>
  <si>
    <t>APS</t>
  </si>
  <si>
    <t>EURELECTRIC</t>
  </si>
  <si>
    <t>JRC</t>
  </si>
  <si>
    <t>EUROELECTRIC</t>
  </si>
  <si>
    <t>Industry</t>
  </si>
  <si>
    <t>Buildings</t>
  </si>
  <si>
    <t>Transport</t>
  </si>
  <si>
    <t>Per capita/MWh</t>
  </si>
  <si>
    <t>Industry FEC GWh</t>
  </si>
  <si>
    <t>Total consumption MWh</t>
  </si>
  <si>
    <t xml:space="preserve">Population </t>
  </si>
  <si>
    <t>Last years value is assumed constant till 2050</t>
  </si>
  <si>
    <t>Buildings GWh</t>
  </si>
  <si>
    <t>Buildings FEC GWh</t>
  </si>
  <si>
    <t>Last 10 years average</t>
  </si>
  <si>
    <t>Transport FEC GWh</t>
  </si>
  <si>
    <t>Assume last year's value till end</t>
  </si>
  <si>
    <t>10 years average</t>
  </si>
  <si>
    <t>6 years average</t>
  </si>
  <si>
    <t>Model parameters</t>
  </si>
  <si>
    <t>Sector</t>
  </si>
  <si>
    <t>Sub_sector</t>
  </si>
  <si>
    <t>Electricity use GWH</t>
  </si>
  <si>
    <t>Total energy use GWH</t>
  </si>
  <si>
    <t>% electrification GWh</t>
  </si>
  <si>
    <t>% electrification (by equipment or activity)</t>
  </si>
  <si>
    <t>Source for activity (current)</t>
  </si>
  <si>
    <t>Source for activity future</t>
  </si>
  <si>
    <t>Assumed electricity efficiency gain</t>
  </si>
  <si>
    <t>Transition steepness</t>
  </si>
  <si>
    <t>2050 target (activity basis)</t>
  </si>
  <si>
    <t>Buildings (Households)</t>
  </si>
  <si>
    <t>Rail transport</t>
  </si>
  <si>
    <t>https://ec.europa.eu/eurostat/databrowser/view/rail_tf_traveh__custom_19976239/default/table ; does not take into account differences between vehicle and t,p km</t>
  </si>
  <si>
    <t>Assumption, full electrification of passenger rail</t>
  </si>
  <si>
    <t>Road transport</t>
  </si>
  <si>
    <t>Domestic aviation</t>
  </si>
  <si>
    <t>Space Heating</t>
  </si>
  <si>
    <t>Space cooling</t>
  </si>
  <si>
    <t>Water heating</t>
  </si>
  <si>
    <t>Cooking</t>
  </si>
  <si>
    <t>Lighting and Electrical applicances</t>
  </si>
  <si>
    <t>Other non-metallic mineral products</t>
  </si>
  <si>
    <t>Car vehicle stocks (eurostat - need correct reference)</t>
  </si>
  <si>
    <t>Activity use % (scenario)</t>
  </si>
  <si>
    <t>Total energy use GWH (baseline)</t>
  </si>
  <si>
    <t>Electricity use GWH (Scenario)</t>
  </si>
  <si>
    <t>Total energy use GWH (Scenario)</t>
  </si>
  <si>
    <t>Electrification percentage (energy basis)</t>
  </si>
  <si>
    <t>Total electrification percentage (energy basis)</t>
  </si>
  <si>
    <t>Total energy saved against baseline / GWh</t>
  </si>
  <si>
    <t>% baseline energy saved</t>
  </si>
  <si>
    <t>No information; low relative importance</t>
  </si>
  <si>
    <t>Domestic navigation</t>
  </si>
  <si>
    <t>No; information; low relative importance</t>
  </si>
  <si>
    <t>Eurostat energy balance for Norway (max Nordic value in 2023)</t>
  </si>
  <si>
    <t>Eurostat energy balance for norway space heating (true value 95% seems to high for baltics?) (max nordic value in 2023)</t>
  </si>
  <si>
    <t>Lighting and electrical appliances</t>
  </si>
  <si>
    <t>Guess</t>
  </si>
  <si>
    <t>Eurostat energy balance for Norway (max Nordic value in 2024)</t>
  </si>
  <si>
    <t>Eurostat energy balance for Sweden (max Nordic value in 2024)</t>
  </si>
  <si>
    <t>Eurostat energy balance for Finland (max Nordic value in 2024)</t>
  </si>
  <si>
    <t>Eurostat energy balance for Denmark (max Nordic value in 2024)</t>
  </si>
  <si>
    <t>Value already higher than Nordics. Left constant for now</t>
  </si>
  <si>
    <t>% optimisic electrification by 2050 (by equipment or activity_or energy)</t>
  </si>
  <si>
    <t>Energy balance</t>
  </si>
  <si>
    <t>ESTONIA</t>
  </si>
  <si>
    <t>APS scenario</t>
  </si>
  <si>
    <t xml:space="preserve">Buildings </t>
  </si>
  <si>
    <t>Euroelectric scenario</t>
  </si>
  <si>
    <t>JRC scenario</t>
  </si>
  <si>
    <t>SEI Scenario</t>
  </si>
  <si>
    <t>LATVIA</t>
  </si>
  <si>
    <t>Latvia (energy use)</t>
  </si>
  <si>
    <t>Savings %</t>
  </si>
  <si>
    <t>https://fiw.hs-wismar.de/storages/hs-wismar/_FIW/Bereich_EUI/AB_AET/Professoren/Wego/Diesel_vs._Electric_-_An_energy_analysis_after_three_years_of_driving.pdf
https://reference-global.com/download/article/10.2478/rtuect-2020-0041.pdf</t>
  </si>
  <si>
    <t>https://www.iea.org/reports/the-future-of-heat-pumps/how-a-heat-pump-works
https://moveenergy.vc/electrical-heat-as-the-next-frontier-in-industrial-decarbonisation/
https://www.raponline.org/wp-content/uploads/2023/09/Heat-pump-running-costs-v271.pdf</t>
  </si>
  <si>
    <t>https://www.san-lan.com/de/faq/energy-saving-electric-furnace-vs-traditional-melting-furnace-energy-consumption-comparison.html
https://www.agora-industry.org/fileadmin/Projects/2023/2023-20_IND_Electrification_Industrial_Heat/A-IND_329_04_Electrification_Industrial_Heat_WEB.pdf</t>
  </si>
  <si>
    <t xml:space="preserve">Energy balance </t>
  </si>
  <si>
    <t>National values</t>
  </si>
  <si>
    <t>Figure 6 - Industrial final energy consumption</t>
  </si>
  <si>
    <t>Industry GWh</t>
  </si>
  <si>
    <t>Total consumption</t>
  </si>
  <si>
    <t>Electricity share</t>
  </si>
  <si>
    <t>Electricity FEC</t>
  </si>
  <si>
    <t>Figure 7 - Transport final energy consumption</t>
  </si>
  <si>
    <t>Transport GWh</t>
  </si>
  <si>
    <t>Figure 8 - Buildings final energy consumption</t>
  </si>
  <si>
    <t>Eurostat version</t>
  </si>
  <si>
    <t>Eurostat data</t>
  </si>
  <si>
    <t xml:space="preserve">Electricity share </t>
  </si>
  <si>
    <t>% optimisic electrification by 2050 (by equipment, activity, or energy)</t>
  </si>
  <si>
    <t>% optimisic electrification by 2050 (by equipment or activity or energy)</t>
  </si>
  <si>
    <t>total</t>
  </si>
  <si>
    <t>Share of total</t>
  </si>
  <si>
    <t>service shares (from JRC-IDEES)</t>
  </si>
  <si>
    <t>Households</t>
  </si>
  <si>
    <t>Services</t>
  </si>
  <si>
    <t>Rail</t>
  </si>
  <si>
    <t>Road</t>
  </si>
  <si>
    <t>Date</t>
  </si>
  <si>
    <t>Estonia · Latvia · Lithuania</t>
  </si>
  <si>
    <t>Countries Covered</t>
  </si>
  <si>
    <t>Sunly</t>
  </si>
  <si>
    <t>Beneficiary</t>
  </si>
  <si>
    <t>Stockholm Environment Institute (SEI), Tallinn Centre</t>
  </si>
  <si>
    <t>Study Carried Out By</t>
  </si>
  <si>
    <t>Electrification Potential Analysis for Baltics – Past and Future Developments</t>
  </si>
  <si>
    <t>Project Title</t>
  </si>
  <si>
    <t>PROJECT INFORMATION</t>
  </si>
  <si>
    <t>Scenario Projections &amp; Historical Analysis · Estonia · Latvia · Lithuania</t>
  </si>
  <si>
    <r>
      <t xml:space="preserve">Electrification Potential Analysis for the Baltics
</t>
    </r>
    <r>
      <rPr>
        <b/>
        <sz val="11"/>
        <color rgb="FF004D33"/>
        <rFont val="Calibri"/>
        <family val="2"/>
      </rPr>
      <t>Past and Future Developments</t>
    </r>
  </si>
  <si>
    <t>SEI  Stockholm Environment Institute</t>
  </si>
  <si>
    <t xml:space="preserve">Source: Transitioning to carbon neutral heating and cooling in Estonia by 2050 study by SEI </t>
  </si>
  <si>
    <t>2 200</t>
  </si>
  <si>
    <t>1 500</t>
  </si>
  <si>
    <t xml:space="preserve">DH consumption </t>
  </si>
  <si>
    <t>Share of electricity %</t>
  </si>
  <si>
    <t>Electricty consumption</t>
  </si>
  <si>
    <t>Total</t>
  </si>
  <si>
    <t>Biomass for CHP</t>
  </si>
  <si>
    <t>Electricity (GT H.P)</t>
  </si>
  <si>
    <t>Electricity (W/W H.P)</t>
  </si>
  <si>
    <t>Electricity (A/W H.P)</t>
  </si>
  <si>
    <t>Biomass for boilers</t>
  </si>
  <si>
    <t>Natural gas (NG)</t>
  </si>
  <si>
    <t>Municipal waste for CHPs</t>
  </si>
  <si>
    <t>Oil shale oil for boilers</t>
  </si>
  <si>
    <t>Oil shale oil for CHPs</t>
  </si>
  <si>
    <t>Oil shale for CHPs</t>
  </si>
  <si>
    <t>Fuel / Technology</t>
  </si>
  <si>
    <t>Figure 20 - District heating 2022 (GWh)</t>
  </si>
  <si>
    <t>Total GWh</t>
  </si>
  <si>
    <t xml:space="preserve">Hydrogen (FC M.CHP) </t>
  </si>
  <si>
    <t xml:space="preserve">Electricity (Electrical boiler) </t>
  </si>
  <si>
    <t xml:space="preserve">Electricity (GS H.P) </t>
  </si>
  <si>
    <t xml:space="preserve">Electricity (A/W H.P) </t>
  </si>
  <si>
    <t xml:space="preserve">Electricity (A/A H.P) </t>
  </si>
  <si>
    <t xml:space="preserve">Oil </t>
  </si>
  <si>
    <t xml:space="preserve">Natural Gas </t>
  </si>
  <si>
    <t xml:space="preserve">Biogas </t>
  </si>
  <si>
    <t xml:space="preserve">Biomass </t>
  </si>
  <si>
    <t>Figure 19 - Local heating 2022 (GWh)</t>
  </si>
  <si>
    <t>Source: Eurostat</t>
  </si>
  <si>
    <t>% of electric hybrid</t>
  </si>
  <si>
    <t xml:space="preserve">% of electricity 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</si>
  <si>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</si>
  <si>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</si>
  <si>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</si>
  <si>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</si>
  <si>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</si>
  <si>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</si>
  <si>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</si>
  <si>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</si>
  <si>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</si>
  <si>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</si>
  <si>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</si>
  <si>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</si>
  <si>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Figure 18 - Share of electricity and electric hybrid cars among newly registered passenger cars</t>
  </si>
  <si>
    <t>Electric hybrid</t>
  </si>
  <si>
    <t>Electricity</t>
  </si>
  <si>
    <t>Figure 17 - New passenger cars, by type of motor energy</t>
  </si>
  <si>
    <t>Figure 16 - Share of electricity and electric hybrid cars in the total stock of registered passenger cars</t>
  </si>
  <si>
    <t xml:space="preserve">Figure 15 - Passenger cars, by type of motor energy </t>
  </si>
  <si>
    <t>Not Elsewhere Specified</t>
  </si>
  <si>
    <t>Textile &amp; Leather</t>
  </si>
  <si>
    <t>Wood &amp; Wood Products</t>
  </si>
  <si>
    <t>Paper, Pulp &amp; Printing</t>
  </si>
  <si>
    <t>Food, Beverages &amp; Tobacco</t>
  </si>
  <si>
    <t>Mining &amp; Quarrying</t>
  </si>
  <si>
    <t>Transport Equipment</t>
  </si>
  <si>
    <t>Non-metallic Minerals</t>
  </si>
  <si>
    <t>Non-ferrous Metals</t>
  </si>
  <si>
    <t>Chemical &amp; Petrochemical</t>
  </si>
  <si>
    <t>Iron &amp; Steel</t>
  </si>
  <si>
    <t>Total Industry</t>
  </si>
  <si>
    <t xml:space="preserve">Figure 14 - FEC Industry </t>
  </si>
  <si>
    <t>Arts, sports and recreation</t>
  </si>
  <si>
    <t>Technical and professional services</t>
  </si>
  <si>
    <t>Food and accomodation</t>
  </si>
  <si>
    <t>transportation and storage</t>
  </si>
  <si>
    <t>Wholesale and retail trade</t>
  </si>
  <si>
    <t>Other services</t>
  </si>
  <si>
    <t>FEC services</t>
  </si>
  <si>
    <t>Figure 13 - FEC Services</t>
  </si>
  <si>
    <t xml:space="preserve"> </t>
  </si>
  <si>
    <t xml:space="preserve">Road </t>
  </si>
  <si>
    <t xml:space="preserve">Rail </t>
  </si>
  <si>
    <t>Transport total</t>
  </si>
  <si>
    <t>Figure 12 - FEC Transport</t>
  </si>
  <si>
    <t xml:space="preserve"> Space cooling</t>
  </si>
  <si>
    <t xml:space="preserve"> Space heating</t>
  </si>
  <si>
    <t>Figure 11 -  FEC Household</t>
  </si>
  <si>
    <t>Sub sectoral FEC</t>
  </si>
  <si>
    <t>MWh/Per capita</t>
  </si>
  <si>
    <t>Figure 10 - Per capita electricity consumption</t>
  </si>
  <si>
    <r>
      <t>Heat</t>
    </r>
    <r>
      <rPr>
        <sz val="11"/>
        <color theme="1"/>
        <rFont val="Calibri"/>
        <family val="2"/>
        <charset val="1"/>
      </rPr>
      <t xml:space="preserve"> and </t>
    </r>
    <r>
      <rPr>
        <b/>
        <sz val="11"/>
        <color theme="1"/>
        <rFont val="Calibri"/>
        <family val="2"/>
        <scheme val="minor"/>
      </rPr>
      <t>Electricity</t>
    </r>
    <r>
      <rPr>
        <sz val="11"/>
        <color theme="1"/>
        <rFont val="Calibri"/>
        <family val="2"/>
        <charset val="1"/>
      </rPr>
      <t xml:space="preserve"> as separate categories</t>
    </r>
  </si>
  <si>
    <r>
      <t>Waste</t>
    </r>
    <r>
      <rPr>
        <sz val="11"/>
        <color theme="1"/>
        <rFont val="Calibri"/>
        <family val="2"/>
        <charset val="1"/>
      </rPr>
      <t>: Non-renewable waste</t>
    </r>
  </si>
  <si>
    <r>
      <t>Renewables</t>
    </r>
    <r>
      <rPr>
        <sz val="11"/>
        <color theme="1"/>
        <rFont val="Calibri"/>
        <family val="2"/>
        <charset val="1"/>
      </rPr>
      <t>: Biofuels, biogases, renewable waste</t>
    </r>
  </si>
  <si>
    <r>
      <t>Gas</t>
    </r>
    <r>
      <rPr>
        <sz val="11"/>
        <color theme="1"/>
        <rFont val="Calibri"/>
        <family val="2"/>
        <charset val="1"/>
      </rPr>
      <t>: Natural gas</t>
    </r>
  </si>
  <si>
    <r>
      <t>Oil</t>
    </r>
    <r>
      <rPr>
        <sz val="11"/>
        <color theme="1"/>
        <rFont val="Calibri"/>
        <family val="2"/>
        <charset val="1"/>
      </rPr>
      <t>: LPG, gasoline, jet fuel, diesel, fuel oil</t>
    </r>
  </si>
  <si>
    <t>oil shale and oil sands</t>
  </si>
  <si>
    <r>
      <t>Coal</t>
    </r>
    <r>
      <rPr>
        <sz val="11"/>
        <color theme="1"/>
        <rFont val="Calibri"/>
        <family val="2"/>
        <charset val="1"/>
      </rPr>
      <t>: Bituminous coal, coke, peat</t>
    </r>
  </si>
  <si>
    <t>Heat</t>
  </si>
  <si>
    <t>Waste</t>
  </si>
  <si>
    <t>Renewables</t>
  </si>
  <si>
    <t>Gas</t>
  </si>
  <si>
    <t>Oil</t>
  </si>
  <si>
    <t>Oil Shale</t>
  </si>
  <si>
    <t>Coal</t>
  </si>
  <si>
    <t>Proportion of electricity</t>
  </si>
  <si>
    <t>Other renewables</t>
  </si>
  <si>
    <t>Figure 9 - Final energy consumption GWh</t>
  </si>
  <si>
    <t>Sectoral FEC</t>
  </si>
  <si>
    <t xml:space="preserve">Proportion of total final energy </t>
  </si>
  <si>
    <t>Figure 5 Total final energy consumption - electricity</t>
  </si>
  <si>
    <t>Share of renewable</t>
  </si>
  <si>
    <t>Share of fossil</t>
  </si>
  <si>
    <t>Renewable electricty</t>
  </si>
  <si>
    <t>Fossil electricity</t>
  </si>
  <si>
    <t>Electricity generation</t>
  </si>
  <si>
    <t>Figure 4 - Total share of fossil and renewable electricity generation</t>
  </si>
  <si>
    <t>Import electricity</t>
  </si>
  <si>
    <t xml:space="preserve">Electricity import </t>
  </si>
  <si>
    <t>Solar energy</t>
  </si>
  <si>
    <t>Wind energy</t>
  </si>
  <si>
    <t>Hydro energy</t>
  </si>
  <si>
    <t>Shale oil gas</t>
  </si>
  <si>
    <t>Other renewable sources</t>
  </si>
  <si>
    <t>Refuse derived fuel</t>
  </si>
  <si>
    <t>Biogases</t>
  </si>
  <si>
    <t>Natural Gas</t>
  </si>
  <si>
    <t>Diesel</t>
  </si>
  <si>
    <t>Shale oil</t>
  </si>
  <si>
    <t>Fuel oil</t>
  </si>
  <si>
    <t>wood chips and waste</t>
  </si>
  <si>
    <t>Peat</t>
  </si>
  <si>
    <t>Oil shale</t>
  </si>
  <si>
    <t>Hard coal</t>
  </si>
  <si>
    <t xml:space="preserve">Total </t>
  </si>
  <si>
    <t>Total production GWh</t>
  </si>
  <si>
    <t>Figure 3 - Total yearly Electricity Production by fuel</t>
  </si>
  <si>
    <t>Commercial and public services</t>
  </si>
  <si>
    <t>Residential</t>
  </si>
  <si>
    <t>Figure 2 - Sectoral final energy consumption - electricity</t>
  </si>
  <si>
    <t xml:space="preserve">Total 2024  </t>
  </si>
  <si>
    <t>2024 December</t>
  </si>
  <si>
    <t>2024 November</t>
  </si>
  <si>
    <t>2024 October</t>
  </si>
  <si>
    <t>2024 September</t>
  </si>
  <si>
    <t>2024 August</t>
  </si>
  <si>
    <t>2024 July</t>
  </si>
  <si>
    <t>2024 June</t>
  </si>
  <si>
    <t>2024 May</t>
  </si>
  <si>
    <t>2024 April</t>
  </si>
  <si>
    <t>2024 March</t>
  </si>
  <si>
    <t>2024 February</t>
  </si>
  <si>
    <t>2024 January</t>
  </si>
  <si>
    <t>2023 December</t>
  </si>
  <si>
    <t>2023 November</t>
  </si>
  <si>
    <t>2023 October</t>
  </si>
  <si>
    <t>2023 September</t>
  </si>
  <si>
    <t>2023 August</t>
  </si>
  <si>
    <t>2023 July</t>
  </si>
  <si>
    <t>2023 June</t>
  </si>
  <si>
    <t>2023 May</t>
  </si>
  <si>
    <t>2023 April</t>
  </si>
  <si>
    <t>2023 March</t>
  </si>
  <si>
    <t>2023 February</t>
  </si>
  <si>
    <t>2023 January</t>
  </si>
  <si>
    <t>2022 December</t>
  </si>
  <si>
    <t>2022 November</t>
  </si>
  <si>
    <t>2022 October</t>
  </si>
  <si>
    <t>2022 September</t>
  </si>
  <si>
    <t>2022 August</t>
  </si>
  <si>
    <t>2022 July</t>
  </si>
  <si>
    <t>2022 June</t>
  </si>
  <si>
    <t>2022 May</t>
  </si>
  <si>
    <t>2022 April</t>
  </si>
  <si>
    <t>2022 March</t>
  </si>
  <si>
    <t>2022 February</t>
  </si>
  <si>
    <t>2022 January</t>
  </si>
  <si>
    <t>2021 December</t>
  </si>
  <si>
    <t>2021 November</t>
  </si>
  <si>
    <t>2021 October</t>
  </si>
  <si>
    <t>2021 September</t>
  </si>
  <si>
    <t>2021 August</t>
  </si>
  <si>
    <t>2021 July</t>
  </si>
  <si>
    <t>2021 June</t>
  </si>
  <si>
    <t>2021 May</t>
  </si>
  <si>
    <t>2021 April</t>
  </si>
  <si>
    <t>2021 March</t>
  </si>
  <si>
    <t>2021 February</t>
  </si>
  <si>
    <t>2021 January</t>
  </si>
  <si>
    <t>2020 December</t>
  </si>
  <si>
    <t>2020 November</t>
  </si>
  <si>
    <t>2020 October</t>
  </si>
  <si>
    <t>2020 September</t>
  </si>
  <si>
    <t>2020 August</t>
  </si>
  <si>
    <t>2020 July</t>
  </si>
  <si>
    <t>2020 June</t>
  </si>
  <si>
    <t>2020 May</t>
  </si>
  <si>
    <t>2020 April</t>
  </si>
  <si>
    <t>2020 March</t>
  </si>
  <si>
    <t>2020 February</t>
  </si>
  <si>
    <t>2020 January</t>
  </si>
  <si>
    <t>2019 December</t>
  </si>
  <si>
    <t>2019 November</t>
  </si>
  <si>
    <t>2019 October</t>
  </si>
  <si>
    <t>2019 September</t>
  </si>
  <si>
    <t>2019 August</t>
  </si>
  <si>
    <t>2019 July</t>
  </si>
  <si>
    <t>2019 June</t>
  </si>
  <si>
    <t>2019 May</t>
  </si>
  <si>
    <t>2019 April</t>
  </si>
  <si>
    <t>2019 March</t>
  </si>
  <si>
    <t>2019 February</t>
  </si>
  <si>
    <t>2019 January</t>
  </si>
  <si>
    <t>2018 December</t>
  </si>
  <si>
    <t>2018 November</t>
  </si>
  <si>
    <t>2018 October</t>
  </si>
  <si>
    <t>2018 September</t>
  </si>
  <si>
    <t>2018 August</t>
  </si>
  <si>
    <t>2018 July</t>
  </si>
  <si>
    <t>2018 June</t>
  </si>
  <si>
    <t>2018 May</t>
  </si>
  <si>
    <t>2018 April</t>
  </si>
  <si>
    <t>2018 March</t>
  </si>
  <si>
    <t>2018 February</t>
  </si>
  <si>
    <t>2018 January</t>
  </si>
  <si>
    <t>2017 December</t>
  </si>
  <si>
    <t>2017 November</t>
  </si>
  <si>
    <t>2017 October</t>
  </si>
  <si>
    <t>2017 September</t>
  </si>
  <si>
    <t>2017 August</t>
  </si>
  <si>
    <t>2017 July</t>
  </si>
  <si>
    <t>2017 June</t>
  </si>
  <si>
    <t>2017 May</t>
  </si>
  <si>
    <t>2017 April</t>
  </si>
  <si>
    <t>2017 March</t>
  </si>
  <si>
    <t>2017 February</t>
  </si>
  <si>
    <t>2017 January</t>
  </si>
  <si>
    <t>2016 December</t>
  </si>
  <si>
    <t>2016 November</t>
  </si>
  <si>
    <t>2016 October</t>
  </si>
  <si>
    <t>2016 September</t>
  </si>
  <si>
    <t>2016 August</t>
  </si>
  <si>
    <t>2016 July</t>
  </si>
  <si>
    <t>2016 June</t>
  </si>
  <si>
    <t>2016 May</t>
  </si>
  <si>
    <t>2016 April</t>
  </si>
  <si>
    <t>2016 March</t>
  </si>
  <si>
    <t>2016 February</t>
  </si>
  <si>
    <t>2016 January</t>
  </si>
  <si>
    <t>2015 December</t>
  </si>
  <si>
    <t>2015 November</t>
  </si>
  <si>
    <t>2015 October</t>
  </si>
  <si>
    <t>2015 September</t>
  </si>
  <si>
    <t>2015 August</t>
  </si>
  <si>
    <t>2015 July</t>
  </si>
  <si>
    <t>2015 June</t>
  </si>
  <si>
    <t>2015 May</t>
  </si>
  <si>
    <t>2015 April</t>
  </si>
  <si>
    <t>2015 March</t>
  </si>
  <si>
    <t>2015 February</t>
  </si>
  <si>
    <t>2015 January</t>
  </si>
  <si>
    <t>2014 December</t>
  </si>
  <si>
    <t>2014 November</t>
  </si>
  <si>
    <t>2014 October</t>
  </si>
  <si>
    <t>2014 September</t>
  </si>
  <si>
    <t>2014 August</t>
  </si>
  <si>
    <t>2014 July</t>
  </si>
  <si>
    <t>2014 June</t>
  </si>
  <si>
    <t>2014 May</t>
  </si>
  <si>
    <t>2014 April</t>
  </si>
  <si>
    <t>2014 March</t>
  </si>
  <si>
    <t>2014 February</t>
  </si>
  <si>
    <t>2014 January</t>
  </si>
  <si>
    <t>2013 December</t>
  </si>
  <si>
    <t>2013 November</t>
  </si>
  <si>
    <t>2013 October</t>
  </si>
  <si>
    <t>2013 September</t>
  </si>
  <si>
    <t>2013 August</t>
  </si>
  <si>
    <t>2013 July</t>
  </si>
  <si>
    <t>2013 June</t>
  </si>
  <si>
    <t>2013 May</t>
  </si>
  <si>
    <t>2013 April</t>
  </si>
  <si>
    <t>2013 March</t>
  </si>
  <si>
    <t>2013 February</t>
  </si>
  <si>
    <t>2013 January</t>
  </si>
  <si>
    <t>2012 December</t>
  </si>
  <si>
    <t>2012 November</t>
  </si>
  <si>
    <t>2012 October</t>
  </si>
  <si>
    <t>2012 September</t>
  </si>
  <si>
    <t>2012 August</t>
  </si>
  <si>
    <t>2012 July</t>
  </si>
  <si>
    <t>2012 June</t>
  </si>
  <si>
    <t>2012 May</t>
  </si>
  <si>
    <t>2012 April</t>
  </si>
  <si>
    <t>2012 March</t>
  </si>
  <si>
    <t>2012 February</t>
  </si>
  <si>
    <t>2012 January</t>
  </si>
  <si>
    <t>2011 December</t>
  </si>
  <si>
    <t>2011 November</t>
  </si>
  <si>
    <t>2011 October</t>
  </si>
  <si>
    <t>2011 September</t>
  </si>
  <si>
    <t>2011 August</t>
  </si>
  <si>
    <t>2011 July</t>
  </si>
  <si>
    <t>2011 June</t>
  </si>
  <si>
    <t>2011 May</t>
  </si>
  <si>
    <t>2011 April</t>
  </si>
  <si>
    <t>2011 March</t>
  </si>
  <si>
    <t>2011 February</t>
  </si>
  <si>
    <t>2011 January</t>
  </si>
  <si>
    <t>2010 December</t>
  </si>
  <si>
    <t>2010 November</t>
  </si>
  <si>
    <t>2010 October</t>
  </si>
  <si>
    <t>2010 September</t>
  </si>
  <si>
    <t>2010 August</t>
  </si>
  <si>
    <t>2010 July</t>
  </si>
  <si>
    <t>2010 June</t>
  </si>
  <si>
    <t>2010 May</t>
  </si>
  <si>
    <t>2010 April</t>
  </si>
  <si>
    <t>2010 March</t>
  </si>
  <si>
    <t>2010 February</t>
  </si>
  <si>
    <t>2010 January</t>
  </si>
  <si>
    <t>2009 December</t>
  </si>
  <si>
    <t>2009 November</t>
  </si>
  <si>
    <t>2009 October</t>
  </si>
  <si>
    <t>2009 September</t>
  </si>
  <si>
    <t>2009 August</t>
  </si>
  <si>
    <t>2009 July</t>
  </si>
  <si>
    <t>2009 June</t>
  </si>
  <si>
    <t>2009 May</t>
  </si>
  <si>
    <t>2009 April</t>
  </si>
  <si>
    <t>2009 March</t>
  </si>
  <si>
    <t>2009 February</t>
  </si>
  <si>
    <t>2009 January</t>
  </si>
  <si>
    <t>2008 December</t>
  </si>
  <si>
    <t>2008 November</t>
  </si>
  <si>
    <t>2008 October</t>
  </si>
  <si>
    <t>2008 September</t>
  </si>
  <si>
    <t>2008 August</t>
  </si>
  <si>
    <t>2008 July</t>
  </si>
  <si>
    <t>2008 June</t>
  </si>
  <si>
    <t>2008 May</t>
  </si>
  <si>
    <t>2008 April</t>
  </si>
  <si>
    <t>2008 March</t>
  </si>
  <si>
    <t>2008 February</t>
  </si>
  <si>
    <t>2008 January</t>
  </si>
  <si>
    <t>2007 December</t>
  </si>
  <si>
    <t>2007 November</t>
  </si>
  <si>
    <t>2007 October</t>
  </si>
  <si>
    <t>2007 September</t>
  </si>
  <si>
    <t>2007 August</t>
  </si>
  <si>
    <t>2007 July</t>
  </si>
  <si>
    <t>2007 June</t>
  </si>
  <si>
    <t>2007 May</t>
  </si>
  <si>
    <t>2007 April</t>
  </si>
  <si>
    <t>2007 March</t>
  </si>
  <si>
    <t>2007 February</t>
  </si>
  <si>
    <t>2007 January</t>
  </si>
  <si>
    <t>2006 December</t>
  </si>
  <si>
    <t>2006 November</t>
  </si>
  <si>
    <t>2006 October</t>
  </si>
  <si>
    <t>2006 September</t>
  </si>
  <si>
    <t>2006 August</t>
  </si>
  <si>
    <t>2006 July</t>
  </si>
  <si>
    <t>2006 June</t>
  </si>
  <si>
    <t>2006 May</t>
  </si>
  <si>
    <t>2006 April</t>
  </si>
  <si>
    <t>2006 March</t>
  </si>
  <si>
    <t>2006 February</t>
  </si>
  <si>
    <t>2006 January</t>
  </si>
  <si>
    <t>2005 December</t>
  </si>
  <si>
    <t>2005 November</t>
  </si>
  <si>
    <t>2005 October</t>
  </si>
  <si>
    <t>2005 September</t>
  </si>
  <si>
    <t>2005 August</t>
  </si>
  <si>
    <t>2005 July</t>
  </si>
  <si>
    <t>2005 June</t>
  </si>
  <si>
    <t>2005 May</t>
  </si>
  <si>
    <t>2005 April</t>
  </si>
  <si>
    <t>2005 March</t>
  </si>
  <si>
    <t>2005 February</t>
  </si>
  <si>
    <t>2005 January</t>
  </si>
  <si>
    <t>Total electricity production, GWh</t>
  </si>
  <si>
    <t>Figure 1 - Total Monthly Electricity Production</t>
  </si>
  <si>
    <t>Source: National Statistics Estonia</t>
  </si>
  <si>
    <t>Figure 10 - Per capita electricty consumption</t>
  </si>
  <si>
    <t xml:space="preserve">Figure 9 - Final energy consumption </t>
  </si>
  <si>
    <t>Source:  IEA Estonia</t>
  </si>
  <si>
    <t xml:space="preserve">Figure 8 - Buildings final energy consumption </t>
  </si>
  <si>
    <t>Source: IEA and Eurostat Estonia</t>
  </si>
  <si>
    <t xml:space="preserve">Figure 7 - Transport final energy consumption </t>
  </si>
  <si>
    <t>Source:  IEA and Eurostat Estonia</t>
  </si>
  <si>
    <t xml:space="preserve">Figure 6 - Industrial final energy consumption </t>
  </si>
  <si>
    <t xml:space="preserve">Figure 5 - Final energy consumption of electricity </t>
  </si>
  <si>
    <t>Source: National Statistics Estonia and IEA Estonia</t>
  </si>
  <si>
    <t>National statistics: https://www.stat.ee/et</t>
  </si>
  <si>
    <t>Eurostat: https://ec.europa.eu/eurostat/web/main/data/database</t>
  </si>
  <si>
    <t>IEA: https://www.iea.org/countries/estonia</t>
  </si>
  <si>
    <t xml:space="preserve">The main sources are: </t>
  </si>
  <si>
    <t>Fiigure 18 -Share of electricity and electric hybrid cars among newly registered passenger cars</t>
  </si>
  <si>
    <t>Figure 17- New passenger cars, by type of motor energy</t>
  </si>
  <si>
    <t>Fiigure 16 - Share of electricity and electric hybrid cars in the total stock of registered passenger cars</t>
  </si>
  <si>
    <t xml:space="preserve">Figure 15- Passenger cars, by type of motor energy </t>
  </si>
  <si>
    <t>Rubber, Plastics &amp; Other</t>
  </si>
  <si>
    <t>Textiles &amp; Leather</t>
  </si>
  <si>
    <t>Wood Products</t>
  </si>
  <si>
    <t>Paper &amp; Printing</t>
  </si>
  <si>
    <t>Other Fabricated Metals</t>
  </si>
  <si>
    <t>Chemicals &amp; Pharma</t>
  </si>
  <si>
    <t>Metals</t>
  </si>
  <si>
    <t>Industry Total</t>
  </si>
  <si>
    <t>Figure 14 - FEC Industry</t>
  </si>
  <si>
    <t xml:space="preserve">Pipeline </t>
  </si>
  <si>
    <t>Total Transport</t>
  </si>
  <si>
    <t>FEC household</t>
  </si>
  <si>
    <t>Figure 11 - FEC Household</t>
  </si>
  <si>
    <t>Figure 5 - Total final energy consumption - electricity</t>
  </si>
  <si>
    <t>Electricity import</t>
  </si>
  <si>
    <t>Biofuels</t>
  </si>
  <si>
    <t>Figure 3 - Total yearly Electricity Production by fuel (GWh)</t>
  </si>
  <si>
    <t xml:space="preserve">Commercial and public sector </t>
  </si>
  <si>
    <t>Industry and construction</t>
  </si>
  <si>
    <t xml:space="preserve">Figure 2 - Sectoral final energy consumption - electricity </t>
  </si>
  <si>
    <t>Total Gross electricity production, GWh</t>
  </si>
  <si>
    <t>Source: IEA Latvia</t>
  </si>
  <si>
    <t>Source: National Statistics Latvia and IEA Latvia</t>
  </si>
  <si>
    <t>Source: National Statistics Latvia and IEA Latvia/Eurostat</t>
  </si>
  <si>
    <t>Source: National Statistics Latvia and IEA Latvia /Eurostat</t>
  </si>
  <si>
    <t>Source: National Statistics Latvia</t>
  </si>
  <si>
    <t>Figure 1 - Total Monthly  Electricity Production</t>
  </si>
  <si>
    <t>National statistics: https://stat.gov.lv/en</t>
  </si>
  <si>
    <t>IEA: https://www.iea.org/countries/latvia</t>
  </si>
  <si>
    <t>Electric Hybrid</t>
  </si>
  <si>
    <t>Furniture &amp; Other</t>
  </si>
  <si>
    <t>Fabricated Metals</t>
  </si>
  <si>
    <t>Rubber &amp; Plastics</t>
  </si>
  <si>
    <t>Food &amp; Tobacco</t>
  </si>
  <si>
    <t>Pipeline</t>
  </si>
  <si>
    <t>Transport – Total</t>
  </si>
  <si>
    <t>Share of renewable/low carbon</t>
  </si>
  <si>
    <t>Renewable/ low-carbonity</t>
  </si>
  <si>
    <t>Share of renewable and low-carbon</t>
  </si>
  <si>
    <t>Nuclear</t>
  </si>
  <si>
    <t>Hydropower</t>
  </si>
  <si>
    <t>Other sources</t>
  </si>
  <si>
    <t>Figure 3 - Total yearly Gross Electricity Production by fuel (GWh)</t>
  </si>
  <si>
    <t>Figure 2 - Sectoral final energy consumption - electricity (GWh)</t>
  </si>
  <si>
    <t>Source: IEA Lithuania</t>
  </si>
  <si>
    <t>Source: National Statistics Lithuania</t>
  </si>
  <si>
    <t>Source:National Statistics Lithuania/Eurostat</t>
  </si>
  <si>
    <t>Source: National Statistics Lithuania/Eurostat</t>
  </si>
  <si>
    <t>National statistics: https://osp.stat.gov.lt/en_GB/</t>
  </si>
  <si>
    <t>IEA: https://www.iea.org/countries/lithuania</t>
  </si>
  <si>
    <t>Energy savings</t>
  </si>
  <si>
    <t>Energy saved</t>
  </si>
  <si>
    <t>Eurostat household consumption (used as the basis for shares)</t>
  </si>
  <si>
    <t>Eurostat Households total / GWh</t>
  </si>
  <si>
    <t>Eurostats service total / GWh</t>
  </si>
  <si>
    <t>Total buildings / GWh</t>
  </si>
  <si>
    <t>Summary</t>
  </si>
  <si>
    <t>For importing</t>
  </si>
  <si>
    <t>expert assumption</t>
  </si>
  <si>
    <t>Expert assumption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</si>
</sst>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0.0"/>
    <numFmt numFmtId="166" formatCode="0.000"/>
    <numFmt numFmtId="168" formatCode="0.00000"/>
    <numFmt numFmtId="170" formatCode="#,##0.0"/>
  </numFmts>
  <fonts count="27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theme="1"/>
      <name val="Aptos Narrow"/>
      <family val="2"/>
    </font>
    <font>
      <b/>
      <sz val="11"/>
      <color theme="1"/>
      <name val="Calibri"/>
      <family val="2"/>
      <scheme val="minor"/>
    </font>
    <font>
      <sz val="10"/>
      <color rgb="FF263238"/>
      <name val="Calibri"/>
    </font>
    <font>
      <b/>
      <sz val="10"/>
      <color rgb="FF004D33"/>
      <name val="Calibri"/>
    </font>
    <font>
      <b/>
      <sz val="8"/>
      <color rgb="FF00D29A"/>
      <name val="Calibri"/>
    </font>
    <font>
      <b/>
      <i/>
      <sz val="12"/>
      <color theme="1"/>
      <name val="Calibri"/>
      <family val="2"/>
    </font>
    <font>
      <b/>
      <sz val="22"/>
      <color rgb="FF004D33"/>
      <name val="Calibri"/>
      <family val="2"/>
    </font>
    <font>
      <b/>
      <sz val="11"/>
      <color rgb="FF004D33"/>
      <name val="Calibri"/>
      <family val="2"/>
    </font>
    <font>
      <b/>
      <sz val="18"/>
      <color rgb="FFFFFFFF"/>
      <name val="Calibri"/>
    </font>
    <font>
      <u/>
      <sz val="11"/>
      <color theme="10"/>
      <name val="Calibri"/>
      <family val="2"/>
      <scheme val="minor"/>
    </font>
    <font>
      <b/>
      <sz val="11"/>
      <color theme="3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sz val="11"/>
      <color rgb="FF000000"/>
      <name val="Calibri"/>
      <family val="2"/>
    </font>
    <font>
      <sz val="10"/>
      <color rgb="FF263238"/>
      <name val="Calibri"/>
      <family val="2"/>
    </font>
    <font>
      <b/>
      <sz val="15"/>
      <color rgb="FF004D33"/>
      <name val="Calibri"/>
      <family val="2"/>
    </font>
    <font>
      <i/>
      <sz val="9"/>
      <color rgb="FF6B7780"/>
      <name val="Calibri"/>
      <family val="2"/>
    </font>
    <font>
      <b/>
      <sz val="11"/>
      <color rgb="FF004D33"/>
      <name val="Calibri"/>
      <family val="2"/>
    </font>
    <font>
      <b/>
      <sz val="10"/>
      <color rgb="FF004D33"/>
      <name val="Calibri"/>
      <family val="2"/>
    </font>
    <font>
      <sz val="10"/>
      <color rgb="FF1F4E9C"/>
      <name val="Calibri"/>
      <family val="2"/>
    </font>
    <font>
      <b/>
      <sz val="10"/>
      <color rgb="FF1B2A30"/>
      <name val="Calibri"/>
      <family val="2"/>
    </font>
    <font>
      <b/>
      <sz val="12"/>
      <color rgb="FF004D33"/>
      <name val="Calibri"/>
      <family val="2"/>
    </font>
    <font>
      <i/>
      <sz val="10"/>
      <color rgb="FF6B7780"/>
      <name val="Calibri"/>
      <family val="2"/>
    </font>
    <font>
      <b/>
      <sz val="11"/>
      <color rgb="FFFFFFFF"/>
      <name val="Calibri"/>
      <family val="2"/>
    </font>
    <font>
      <sz val="10"/>
      <color rgb="FFC0392B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004D33"/>
      </patternFill>
    </fill>
    <fill>
      <patternFill patternType="solid">
        <fgColor rgb="FFF5FAF8"/>
      </patternFill>
    </fill>
    <fill>
      <patternFill patternType="solid">
        <fgColor rgb="FFEBF0F8"/>
      </patternFill>
    </fill>
    <fill>
      <patternFill patternType="solid">
        <fgColor rgb="FF00D29A"/>
      </patternFill>
    </fill>
    <fill>
      <patternFill patternType="solid">
        <fgColor rgb="FFF3F8F5"/>
        <bgColor indexed="64"/>
      </patternFill>
    </fill>
    <fill>
      <patternFill patternType="solid">
        <fgColor rgb="FFE7F2EC"/>
        <bgColor indexed="64"/>
      </patternFill>
    </fill>
    <fill>
      <patternFill patternType="solid">
        <fgColor rgb="FFCDE6D8"/>
        <bgColor indexed="64"/>
      </patternFill>
    </fill>
    <fill>
      <patternFill patternType="solid">
        <fgColor rgb="FFFFF3C4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DCEFE3"/>
        <bgColor indexed="64"/>
      </patternFill>
    </fill>
    <fill>
      <patternFill patternType="solid">
        <fgColor rgb="FF004D3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/>
      <bottom/>
      <diagonal/>
    </border>
    <border>
      <left/>
      <right/>
      <top/>
      <bottom style="thin">
        <color rgb="FFDDE3E6"/>
      </bottom>
      <diagonal/>
    </border>
    <border>
      <left/>
      <right/>
      <top/>
      <bottom style="thin">
        <color rgb="FF3D8B66"/>
      </bottom>
      <diagonal/>
    </border>
    <border>
      <left/>
      <right/>
      <top style="thin">
        <color rgb="FF004D33"/>
      </top>
      <bottom style="thin">
        <color rgb="FFDDE3E6"/>
      </bottom>
      <diagonal/>
    </border>
    <border>
      <left/>
      <right/>
      <top/>
      <bottom style="thin">
        <color rgb="FFFFFFFF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1" applyNumberFormat="0" applyFill="0" applyAlignment="0" applyProtection="0"/>
    <xf numFmtId="0" fontId="15" fillId="0" borderId="0" applyBorder="0"/>
  </cellStyleXfs>
  <cellXfs count="87">
    <xf numFmtId="0" fontId="0" fillId="0" borderId="0" xfId="0"/>
    <xf numFmtId="0" fontId="1" fillId="0" borderId="0" xfId="2"/>
    <xf numFmtId="0" fontId="5" fillId="3" borderId="2" xfId="2" applyFont="1" applyFill="1" applyBorder="1" applyAlignment="1">
      <alignment horizontal="left" vertical="center"/>
    </xf>
    <xf numFmtId="0" fontId="6" fillId="3" borderId="2" xfId="2" applyFont="1" applyFill="1" applyBorder="1" applyAlignment="1">
      <alignment horizontal="left" vertical="center"/>
    </xf>
    <xf numFmtId="0" fontId="1" fillId="5" borderId="0" xfId="2" applyFill="1"/>
    <xf numFmtId="0" fontId="1" fillId="2" borderId="0" xfId="2" applyFill="1"/>
    <xf numFmtId="17" fontId="5" fillId="3" borderId="2" xfId="2" applyNumberFormat="1" applyFont="1" applyFill="1" applyBorder="1" applyAlignment="1">
      <alignment horizontal="left" vertical="center"/>
    </xf>
    <xf numFmtId="0" fontId="16" fillId="0" borderId="3" xfId="0" applyFont="1" applyBorder="1"/>
    <xf numFmtId="0" fontId="17" fillId="0" borderId="3" xfId="0" applyFont="1" applyBorder="1" applyAlignment="1">
      <alignment vertical="center"/>
    </xf>
    <xf numFmtId="0" fontId="18" fillId="0" borderId="3" xfId="0" applyFont="1" applyBorder="1" applyAlignment="1">
      <alignment vertical="center"/>
    </xf>
    <xf numFmtId="0" fontId="19" fillId="0" borderId="3" xfId="0" applyFont="1" applyBorder="1" applyAlignment="1">
      <alignment vertical="center"/>
    </xf>
    <xf numFmtId="0" fontId="20" fillId="7" borderId="5" xfId="0" applyFont="1" applyFill="1" applyBorder="1" applyAlignment="1">
      <alignment horizontal="center" vertical="center" wrapText="1"/>
    </xf>
    <xf numFmtId="3" fontId="21" fillId="0" borderId="4" xfId="0" applyNumberFormat="1" applyFont="1" applyBorder="1" applyAlignment="1">
      <alignment horizontal="right" vertical="center"/>
    </xf>
    <xf numFmtId="3" fontId="16" fillId="0" borderId="4" xfId="0" applyNumberFormat="1" applyFont="1" applyBorder="1" applyAlignment="1">
      <alignment horizontal="right" vertical="center"/>
    </xf>
    <xf numFmtId="0" fontId="16" fillId="0" borderId="4" xfId="0" applyFont="1" applyBorder="1" applyAlignment="1">
      <alignment horizontal="right" vertical="center"/>
    </xf>
    <xf numFmtId="0" fontId="22" fillId="0" borderId="6" xfId="0" applyFont="1" applyBorder="1" applyAlignment="1">
      <alignment horizontal="left" vertical="center"/>
    </xf>
    <xf numFmtId="3" fontId="22" fillId="0" borderId="6" xfId="0" applyNumberFormat="1" applyFont="1" applyBorder="1" applyAlignment="1">
      <alignment horizontal="right" vertical="center"/>
    </xf>
    <xf numFmtId="0" fontId="16" fillId="0" borderId="4" xfId="0" applyFont="1" applyBorder="1" applyAlignment="1">
      <alignment horizontal="center" vertical="center"/>
    </xf>
    <xf numFmtId="1" fontId="16" fillId="0" borderId="4" xfId="0" applyNumberFormat="1" applyFont="1" applyBorder="1" applyAlignment="1">
      <alignment horizontal="right" vertical="center"/>
    </xf>
    <xf numFmtId="170" fontId="16" fillId="0" borderId="4" xfId="0" applyNumberFormat="1" applyFont="1" applyBorder="1" applyAlignment="1">
      <alignment horizontal="right" vertical="center"/>
    </xf>
    <xf numFmtId="164" fontId="16" fillId="0" borderId="4" xfId="0" applyNumberFormat="1" applyFont="1" applyBorder="1" applyAlignment="1">
      <alignment horizontal="right" vertical="center"/>
    </xf>
    <xf numFmtId="9" fontId="16" fillId="0" borderId="4" xfId="0" applyNumberFormat="1" applyFont="1" applyBorder="1" applyAlignment="1">
      <alignment horizontal="right" vertical="center"/>
    </xf>
    <xf numFmtId="0" fontId="20" fillId="7" borderId="5" xfId="0" applyFont="1" applyFill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/>
    </xf>
    <xf numFmtId="10" fontId="16" fillId="0" borderId="4" xfId="0" applyNumberFormat="1" applyFont="1" applyBorder="1" applyAlignment="1">
      <alignment horizontal="right" vertical="center"/>
    </xf>
    <xf numFmtId="165" fontId="16" fillId="0" borderId="4" xfId="0" applyNumberFormat="1" applyFont="1" applyBorder="1" applyAlignment="1">
      <alignment horizontal="right" vertical="center"/>
    </xf>
    <xf numFmtId="0" fontId="16" fillId="0" borderId="3" xfId="0" applyFont="1" applyBorder="1" applyAlignment="1">
      <alignment vertical="center"/>
    </xf>
    <xf numFmtId="1" fontId="22" fillId="0" borderId="6" xfId="0" applyNumberFormat="1" applyFont="1" applyBorder="1" applyAlignment="1">
      <alignment horizontal="right" vertical="center"/>
    </xf>
    <xf numFmtId="1" fontId="20" fillId="7" borderId="5" xfId="0" applyNumberFormat="1" applyFont="1" applyFill="1" applyBorder="1" applyAlignment="1">
      <alignment horizontal="center" vertical="center" wrapText="1"/>
    </xf>
    <xf numFmtId="10" fontId="16" fillId="0" borderId="4" xfId="0" applyNumberFormat="1" applyFont="1" applyBorder="1" applyAlignment="1">
      <alignment horizontal="left" vertical="center"/>
    </xf>
    <xf numFmtId="10" fontId="16" fillId="0" borderId="4" xfId="0" applyNumberFormat="1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2" fontId="16" fillId="0" borderId="4" xfId="0" applyNumberFormat="1" applyFont="1" applyBorder="1" applyAlignment="1">
      <alignment horizontal="right" vertical="center"/>
    </xf>
    <xf numFmtId="0" fontId="23" fillId="0" borderId="3" xfId="0" applyFont="1" applyBorder="1" applyAlignment="1">
      <alignment vertical="center"/>
    </xf>
    <xf numFmtId="1" fontId="21" fillId="0" borderId="4" xfId="0" applyNumberFormat="1" applyFont="1" applyBorder="1" applyAlignment="1">
      <alignment horizontal="right" vertical="center"/>
    </xf>
    <xf numFmtId="1" fontId="20" fillId="7" borderId="5" xfId="0" applyNumberFormat="1" applyFont="1" applyFill="1" applyBorder="1" applyAlignment="1">
      <alignment horizontal="left" vertical="center" wrapText="1"/>
    </xf>
    <xf numFmtId="1" fontId="16" fillId="0" borderId="4" xfId="0" applyNumberFormat="1" applyFont="1" applyBorder="1" applyAlignment="1">
      <alignment horizontal="left" vertical="center"/>
    </xf>
    <xf numFmtId="0" fontId="22" fillId="0" borderId="6" xfId="0" applyFont="1" applyBorder="1" applyAlignment="1">
      <alignment horizontal="left" vertical="center" wrapText="1"/>
    </xf>
    <xf numFmtId="0" fontId="16" fillId="0" borderId="4" xfId="0" applyFont="1" applyBorder="1" applyAlignment="1">
      <alignment vertical="center"/>
    </xf>
    <xf numFmtId="0" fontId="24" fillId="0" borderId="3" xfId="0" applyFont="1" applyBorder="1" applyAlignment="1">
      <alignment vertical="center"/>
    </xf>
    <xf numFmtId="2" fontId="21" fillId="9" borderId="7" xfId="0" applyNumberFormat="1" applyFont="1" applyFill="1" applyBorder="1" applyAlignment="1">
      <alignment horizontal="right" vertical="center"/>
    </xf>
    <xf numFmtId="164" fontId="21" fillId="10" borderId="7" xfId="0" applyNumberFormat="1" applyFont="1" applyFill="1" applyBorder="1" applyAlignment="1">
      <alignment horizontal="right" vertical="center"/>
    </xf>
    <xf numFmtId="2" fontId="20" fillId="11" borderId="7" xfId="0" applyNumberFormat="1" applyFont="1" applyFill="1" applyBorder="1" applyAlignment="1">
      <alignment horizontal="right" vertical="center"/>
    </xf>
    <xf numFmtId="165" fontId="16" fillId="0" borderId="4" xfId="0" applyNumberFormat="1" applyFont="1" applyBorder="1" applyAlignment="1">
      <alignment vertical="center"/>
    </xf>
    <xf numFmtId="9" fontId="21" fillId="0" borderId="4" xfId="0" applyNumberFormat="1" applyFont="1" applyBorder="1" applyAlignment="1">
      <alignment horizontal="right" vertical="center"/>
    </xf>
    <xf numFmtId="166" fontId="16" fillId="0" borderId="4" xfId="0" applyNumberFormat="1" applyFont="1" applyBorder="1" applyAlignment="1">
      <alignment horizontal="right" vertical="center"/>
    </xf>
    <xf numFmtId="166" fontId="21" fillId="0" borderId="4" xfId="0" applyNumberFormat="1" applyFont="1" applyBorder="1" applyAlignment="1">
      <alignment horizontal="right" vertical="center"/>
    </xf>
    <xf numFmtId="1" fontId="16" fillId="0" borderId="4" xfId="0" applyNumberFormat="1" applyFont="1" applyBorder="1" applyAlignment="1">
      <alignment horizontal="center" vertical="center"/>
    </xf>
    <xf numFmtId="0" fontId="25" fillId="12" borderId="3" xfId="0" applyFont="1" applyFill="1" applyBorder="1" applyAlignment="1">
      <alignment horizontal="left" vertical="center"/>
    </xf>
    <xf numFmtId="9" fontId="16" fillId="9" borderId="7" xfId="0" applyNumberFormat="1" applyFont="1" applyFill="1" applyBorder="1" applyAlignment="1">
      <alignment horizontal="right" vertical="center"/>
    </xf>
    <xf numFmtId="0" fontId="16" fillId="10" borderId="7" xfId="0" applyFont="1" applyFill="1" applyBorder="1" applyAlignment="1">
      <alignment horizontal="center" vertical="center"/>
    </xf>
    <xf numFmtId="9" fontId="21" fillId="10" borderId="7" xfId="0" applyNumberFormat="1" applyFont="1" applyFill="1" applyBorder="1" applyAlignment="1">
      <alignment horizontal="right" vertical="center"/>
    </xf>
    <xf numFmtId="9" fontId="16" fillId="10" borderId="7" xfId="0" applyNumberFormat="1" applyFont="1" applyFill="1" applyBorder="1" applyAlignment="1">
      <alignment vertical="center"/>
    </xf>
    <xf numFmtId="9" fontId="16" fillId="10" borderId="7" xfId="0" applyNumberFormat="1" applyFont="1" applyFill="1" applyBorder="1" applyAlignment="1">
      <alignment horizontal="right" vertical="center"/>
    </xf>
    <xf numFmtId="9" fontId="20" fillId="7" borderId="5" xfId="0" applyNumberFormat="1" applyFont="1" applyFill="1" applyBorder="1" applyAlignment="1">
      <alignment horizontal="center" vertical="center" wrapText="1"/>
    </xf>
    <xf numFmtId="9" fontId="21" fillId="9" borderId="7" xfId="0" applyNumberFormat="1" applyFont="1" applyFill="1" applyBorder="1" applyAlignment="1">
      <alignment horizontal="right" vertical="center"/>
    </xf>
    <xf numFmtId="2" fontId="16" fillId="9" borderId="7" xfId="0" applyNumberFormat="1" applyFont="1" applyFill="1" applyBorder="1" applyAlignment="1">
      <alignment horizontal="right" vertical="center"/>
    </xf>
    <xf numFmtId="164" fontId="16" fillId="11" borderId="7" xfId="0" applyNumberFormat="1" applyFont="1" applyFill="1" applyBorder="1" applyAlignment="1">
      <alignment vertical="center"/>
    </xf>
    <xf numFmtId="164" fontId="20" fillId="11" borderId="7" xfId="0" applyNumberFormat="1" applyFont="1" applyFill="1" applyBorder="1" applyAlignment="1">
      <alignment horizontal="right" vertical="center"/>
    </xf>
    <xf numFmtId="1" fontId="23" fillId="0" borderId="3" xfId="0" applyNumberFormat="1" applyFont="1" applyBorder="1" applyAlignment="1">
      <alignment vertical="center"/>
    </xf>
    <xf numFmtId="0" fontId="23" fillId="0" borderId="3" xfId="0" applyFont="1" applyBorder="1" applyAlignment="1">
      <alignment vertical="center" wrapText="1"/>
    </xf>
    <xf numFmtId="9" fontId="22" fillId="0" borderId="6" xfId="0" applyNumberFormat="1" applyFont="1" applyBorder="1" applyAlignment="1">
      <alignment horizontal="right" vertical="center"/>
    </xf>
    <xf numFmtId="1" fontId="21" fillId="9" borderId="7" xfId="0" applyNumberFormat="1" applyFont="1" applyFill="1" applyBorder="1" applyAlignment="1">
      <alignment horizontal="right" vertical="center"/>
    </xf>
    <xf numFmtId="164" fontId="16" fillId="9" borderId="7" xfId="0" applyNumberFormat="1" applyFont="1" applyFill="1" applyBorder="1" applyAlignment="1">
      <alignment horizontal="right" vertical="center"/>
    </xf>
    <xf numFmtId="164" fontId="21" fillId="9" borderId="7" xfId="0" applyNumberFormat="1" applyFont="1" applyFill="1" applyBorder="1" applyAlignment="1">
      <alignment horizontal="right" vertical="center"/>
    </xf>
    <xf numFmtId="1" fontId="16" fillId="9" borderId="7" xfId="0" applyNumberFormat="1" applyFont="1" applyFill="1" applyBorder="1" applyAlignment="1">
      <alignment horizontal="right" vertical="center"/>
    </xf>
    <xf numFmtId="164" fontId="26" fillId="0" borderId="4" xfId="0" applyNumberFormat="1" applyFont="1" applyBorder="1" applyAlignment="1">
      <alignment horizontal="right" vertical="center"/>
    </xf>
    <xf numFmtId="9" fontId="16" fillId="0" borderId="4" xfId="0" applyNumberFormat="1" applyFont="1" applyBorder="1" applyAlignment="1">
      <alignment horizontal="left" vertical="center" wrapText="1"/>
    </xf>
    <xf numFmtId="168" fontId="16" fillId="0" borderId="4" xfId="0" applyNumberFormat="1" applyFont="1" applyBorder="1" applyAlignment="1">
      <alignment horizontal="right" vertical="center"/>
    </xf>
    <xf numFmtId="0" fontId="18" fillId="0" borderId="3" xfId="0" applyFont="1" applyBorder="1" applyAlignment="1">
      <alignment vertical="center"/>
    </xf>
    <xf numFmtId="0" fontId="23" fillId="0" borderId="3" xfId="0" applyFont="1" applyBorder="1" applyAlignment="1">
      <alignment vertical="center"/>
    </xf>
    <xf numFmtId="0" fontId="11" fillId="2" borderId="0" xfId="2" applyFont="1" applyFill="1" applyAlignment="1">
      <alignment horizontal="left" vertical="center"/>
    </xf>
    <xf numFmtId="0" fontId="1" fillId="0" borderId="0" xfId="2"/>
    <xf numFmtId="0" fontId="9" fillId="0" borderId="0" xfId="2" applyFont="1" applyAlignment="1">
      <alignment horizontal="left" vertical="center" wrapText="1"/>
    </xf>
    <xf numFmtId="0" fontId="8" fillId="0" borderId="0" xfId="2" applyFont="1" applyAlignment="1">
      <alignment horizontal="left" vertical="center"/>
    </xf>
    <xf numFmtId="0" fontId="4" fillId="0" borderId="0" xfId="2" applyFont="1"/>
    <xf numFmtId="0" fontId="7" fillId="4" borderId="0" xfId="2" applyFont="1" applyFill="1" applyAlignment="1">
      <alignment horizontal="left" vertical="center"/>
    </xf>
    <xf numFmtId="0" fontId="20" fillId="6" borderId="4" xfId="0" applyFont="1" applyFill="1" applyBorder="1" applyAlignment="1">
      <alignment horizontal="left" vertical="center" wrapText="1"/>
    </xf>
    <xf numFmtId="0" fontId="20" fillId="8" borderId="7" xfId="0" applyFont="1" applyFill="1" applyBorder="1" applyAlignment="1">
      <alignment horizontal="center" vertical="center"/>
    </xf>
    <xf numFmtId="0" fontId="16" fillId="0" borderId="3" xfId="0" applyFont="1" applyBorder="1"/>
    <xf numFmtId="0" fontId="20" fillId="6" borderId="4" xfId="0" applyFont="1" applyFill="1" applyBorder="1" applyAlignment="1">
      <alignment horizontal="center" vertical="center" textRotation="90"/>
    </xf>
    <xf numFmtId="0" fontId="25" fillId="12" borderId="3" xfId="0" applyFont="1" applyFill="1" applyBorder="1" applyAlignment="1">
      <alignment horizontal="center" vertical="center"/>
    </xf>
    <xf numFmtId="0" fontId="17" fillId="0" borderId="3" xfId="0" applyFont="1" applyBorder="1" applyAlignment="1">
      <alignment vertical="center"/>
    </xf>
    <xf numFmtId="1" fontId="25" fillId="12" borderId="3" xfId="0" applyNumberFormat="1" applyFont="1" applyFill="1" applyBorder="1" applyAlignment="1">
      <alignment horizontal="center" vertical="center"/>
    </xf>
    <xf numFmtId="2" fontId="16" fillId="0" borderId="4" xfId="0" applyNumberFormat="1" applyFont="1" applyBorder="1" applyAlignment="1">
      <alignment horizontal="right" vertical="center"/>
    </xf>
    <xf numFmtId="1" fontId="20" fillId="8" borderId="7" xfId="0" applyNumberFormat="1" applyFont="1" applyFill="1" applyBorder="1" applyAlignment="1">
      <alignment horizontal="center" vertical="center"/>
    </xf>
    <xf numFmtId="1" fontId="16" fillId="0" borderId="4" xfId="0" applyNumberFormat="1" applyFont="1" applyBorder="1" applyAlignment="1">
      <alignment horizontal="right" vertical="center"/>
    </xf>
  </cellXfs>
  <cellStyles count="8">
    <cellStyle name="Heading 1 2" xfId="6" xr:uid="{5490A4B0-96F3-4F7D-97B2-A3E9F3034A1F}"/>
    <cellStyle name="Heading 4 2" xfId="5" xr:uid="{5F166919-533D-477B-B46C-9BD4C7687437}"/>
    <cellStyle name="Hyperlink 2" xfId="4" xr:uid="{6D61BE13-CDA9-4A93-89BB-8C4F8F39BF64}"/>
    <cellStyle name="Normal" xfId="0" builtinId="0"/>
    <cellStyle name="Normal 2" xfId="1" xr:uid="{00000000-0005-0000-0000-000006000000}"/>
    <cellStyle name="Normal 2 2" xfId="7" xr:uid="{A8D90BD4-F151-47FD-B6D6-5A1C7BB46C5D}"/>
    <cellStyle name="Normal 3" xfId="2" xr:uid="{042D4C16-2ECB-4FBE-957F-9D9F89D2DFFA}"/>
    <cellStyle name="Percent 2" xfId="3" xr:uid="{7ADEEEEB-A689-4BEB-B8FC-8AF5DDB2C01D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2F0D9"/>
      <rgbColor rgb="FF660066"/>
      <rgbColor rgb="FFFF8080"/>
      <rgbColor rgb="FF0563C1"/>
      <rgbColor rgb="FFB4C7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6F6"/>
      <rgbColor rgb="FFC6EFCE"/>
      <rgbColor rgb="FFFBE5D6"/>
      <rgbColor rgb="FFD9D9D9"/>
      <rgbColor rgb="FFFF99CC"/>
      <rgbColor rgb="FFCC99FF"/>
      <rgbColor rgb="FFFCE4D6"/>
      <rgbColor rgb="FF4472C4"/>
      <rgbColor rgb="FF33CCCC"/>
      <rgbColor rgb="FF99CC00"/>
      <rgbColor rgb="FFFFC000"/>
      <rgbColor rgb="FFFF9900"/>
      <rgbColor rgb="FFED7D31"/>
      <rgbColor rgb="FF595959"/>
      <rgbColor rgb="FFA5A5A5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85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86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87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88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89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90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91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92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93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94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95.xml.rels><?xml version="1.0" encoding="UTF-8" standalone="yes"?>
<Relationships xmlns="http://schemas.openxmlformats.org/package/2006/relationships"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_rels/chart96.xml.rels><?xml version="1.0" encoding="UTF-8" standalone="yes"?>
<Relationships xmlns="http://schemas.openxmlformats.org/package/2006/relationships"><Relationship Id="rId2" Type="http://schemas.microsoft.com/office/2011/relationships/chartColorStyle" Target="colors72.xml"/><Relationship Id="rId1" Type="http://schemas.microsoft.com/office/2011/relationships/chartStyle" Target="style72.xml"/></Relationships>
</file>

<file path=xl/charts/_rels/chart97.xml.rels><?xml version="1.0" encoding="UTF-8" standalone="yes"?>
<Relationships xmlns="http://schemas.openxmlformats.org/package/2006/relationships"><Relationship Id="rId2" Type="http://schemas.microsoft.com/office/2011/relationships/chartColorStyle" Target="colors73.xml"/><Relationship Id="rId1" Type="http://schemas.microsoft.com/office/2011/relationships/chartStyle" Target="style73.xml"/></Relationships>
</file>

<file path=xl/charts/_rels/chart98.xml.rels><?xml version="1.0" encoding="UTF-8" standalone="yes"?>
<Relationships xmlns="http://schemas.openxmlformats.org/package/2006/relationships"><Relationship Id="rId2" Type="http://schemas.microsoft.com/office/2011/relationships/chartColorStyle" Target="colors74.xml"/><Relationship Id="rId1" Type="http://schemas.microsoft.com/office/2011/relationships/chartStyle" Target="style74.xml"/></Relationships>
</file>

<file path=xl/charts/_rels/chart99.xml.rels><?xml version="1.0" encoding="UTF-8" standalone="yes"?>
<Relationships xmlns="http://schemas.openxmlformats.org/package/2006/relationships"><Relationship Id="rId2" Type="http://schemas.microsoft.com/office/2011/relationships/chartColorStyle" Target="colors75.xml"/><Relationship Id="rId1" Type="http://schemas.microsoft.com/office/2011/relationships/chartStyle" Target="style75.xml"/></Relationships>
</file>

<file path=xl/charts/_rels/chart100.xml.rels><?xml version="1.0" encoding="UTF-8" standalone="yes"?>
<Relationships xmlns="http://schemas.openxmlformats.org/package/2006/relationships"><Relationship Id="rId2" Type="http://schemas.microsoft.com/office/2011/relationships/chartColorStyle" Target="colors76.xml"/><Relationship Id="rId1" Type="http://schemas.microsoft.com/office/2011/relationships/chartStyle" Target="style76.xml"/></Relationships>
</file>

<file path=xl/charts/_rels/chart101.xml.rels><?xml version="1.0" encoding="UTF-8" standalone="yes"?>
<Relationships xmlns="http://schemas.openxmlformats.org/package/2006/relationships"><Relationship Id="rId2" Type="http://schemas.microsoft.com/office/2011/relationships/chartColorStyle" Target="colors77.xml"/><Relationship Id="rId1" Type="http://schemas.microsoft.com/office/2011/relationships/chartStyle" Target="style77.xml"/></Relationships>
</file>

<file path=xl/charts/_rels/chart102.xml.rels><?xml version="1.0" encoding="UTF-8" standalone="yes"?>
<Relationships xmlns="http://schemas.openxmlformats.org/package/2006/relationships"><Relationship Id="rId2" Type="http://schemas.microsoft.com/office/2011/relationships/chartColorStyle" Target="colors78.xml"/><Relationship Id="rId1" Type="http://schemas.microsoft.com/office/2011/relationships/chartStyle" Target="style78.xml"/></Relationships>
</file>

<file path=xl/charts/_rels/chart103.xml.rels><?xml version="1.0" encoding="UTF-8" standalone="yes"?>
<Relationships xmlns="http://schemas.openxmlformats.org/package/2006/relationships"><Relationship Id="rId2" Type="http://schemas.microsoft.com/office/2011/relationships/chartColorStyle" Target="colors79.xml"/><Relationship Id="rId1" Type="http://schemas.microsoft.com/office/2011/relationships/chartStyle" Target="style79.xml"/></Relationships>
</file>

<file path=xl/charts/_rels/chart104.xml.rels><?xml version="1.0" encoding="UTF-8" standalone="yes"?>
<Relationships xmlns="http://schemas.openxmlformats.org/package/2006/relationships"><Relationship Id="rId2" Type="http://schemas.microsoft.com/office/2011/relationships/chartColorStyle" Target="colors80.xml"/><Relationship Id="rId1" Type="http://schemas.microsoft.com/office/2011/relationships/chartStyle" Target="style80.xml"/></Relationships>
</file>

<file path=xl/charts/_rels/chart105.xml.rels><?xml version="1.0" encoding="UTF-8" standalone="yes"?>
<Relationships xmlns="http://schemas.openxmlformats.org/package/2006/relationships"><Relationship Id="rId2" Type="http://schemas.microsoft.com/office/2011/relationships/chartColorStyle" Target="colors81.xml"/><Relationship Id="rId1" Type="http://schemas.microsoft.com/office/2011/relationships/chartStyle" Target="style81.xml"/></Relationships>
</file>

<file path=xl/charts/_rels/chart106.xml.rels><?xml version="1.0" encoding="UTF-8" standalone="yes"?>
<Relationships xmlns="http://schemas.openxmlformats.org/package/2006/relationships"><Relationship Id="rId2" Type="http://schemas.microsoft.com/office/2011/relationships/chartColorStyle" Target="colors82.xml"/><Relationship Id="rId1" Type="http://schemas.microsoft.com/office/2011/relationships/chartStyle" Target="style8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0"/>
          <c:order val="0"/>
          <c:tx>
            <c:strRef>
              <c:f>'[1]Monthly production 2000-2024'!$A$3</c:f>
              <c:strCache>
                <c:ptCount val="1"/>
                <c:pt idx="0">
                  <c:v>Total electricity production, GWh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strRef>
              <c:f>'[1]Monthly production 2000-2024'!$B$2:$IG$2</c:f>
              <c:strCache>
                <c:ptCount val="240"/>
                <c:pt idx="0">
                  <c:v>2005 January</c:v>
                </c:pt>
                <c:pt idx="1">
                  <c:v>2005 February</c:v>
                </c:pt>
                <c:pt idx="2">
                  <c:v>2005 March</c:v>
                </c:pt>
                <c:pt idx="3">
                  <c:v>2005 April</c:v>
                </c:pt>
                <c:pt idx="4">
                  <c:v>2005 May</c:v>
                </c:pt>
                <c:pt idx="5">
                  <c:v>2005 June</c:v>
                </c:pt>
                <c:pt idx="6">
                  <c:v>2005 July</c:v>
                </c:pt>
                <c:pt idx="7">
                  <c:v>2005 August</c:v>
                </c:pt>
                <c:pt idx="8">
                  <c:v>2005 September</c:v>
                </c:pt>
                <c:pt idx="9">
                  <c:v>2005 October</c:v>
                </c:pt>
                <c:pt idx="10">
                  <c:v>2005 November</c:v>
                </c:pt>
                <c:pt idx="11">
                  <c:v>2005 December</c:v>
                </c:pt>
                <c:pt idx="12">
                  <c:v>2006 January</c:v>
                </c:pt>
                <c:pt idx="13">
                  <c:v>2006 February</c:v>
                </c:pt>
                <c:pt idx="14">
                  <c:v>2006 March</c:v>
                </c:pt>
                <c:pt idx="15">
                  <c:v>2006 April</c:v>
                </c:pt>
                <c:pt idx="16">
                  <c:v>2006 May</c:v>
                </c:pt>
                <c:pt idx="17">
                  <c:v>2006 June</c:v>
                </c:pt>
                <c:pt idx="18">
                  <c:v>2006 July</c:v>
                </c:pt>
                <c:pt idx="19">
                  <c:v>2006 August</c:v>
                </c:pt>
                <c:pt idx="20">
                  <c:v>2006 September</c:v>
                </c:pt>
                <c:pt idx="21">
                  <c:v>2006 October</c:v>
                </c:pt>
                <c:pt idx="22">
                  <c:v>2006 November</c:v>
                </c:pt>
                <c:pt idx="23">
                  <c:v>2006 December</c:v>
                </c:pt>
                <c:pt idx="24">
                  <c:v>2007 January</c:v>
                </c:pt>
                <c:pt idx="25">
                  <c:v>2007 February</c:v>
                </c:pt>
                <c:pt idx="26">
                  <c:v>2007 March</c:v>
                </c:pt>
                <c:pt idx="27">
                  <c:v>2007 April</c:v>
                </c:pt>
                <c:pt idx="28">
                  <c:v>2007 May</c:v>
                </c:pt>
                <c:pt idx="29">
                  <c:v>2007 June</c:v>
                </c:pt>
                <c:pt idx="30">
                  <c:v>2007 July</c:v>
                </c:pt>
                <c:pt idx="31">
                  <c:v>2007 August</c:v>
                </c:pt>
                <c:pt idx="32">
                  <c:v>2007 September</c:v>
                </c:pt>
                <c:pt idx="33">
                  <c:v>2007 October</c:v>
                </c:pt>
                <c:pt idx="34">
                  <c:v>2007 November</c:v>
                </c:pt>
                <c:pt idx="35">
                  <c:v>2007 December</c:v>
                </c:pt>
                <c:pt idx="36">
                  <c:v>2008 January</c:v>
                </c:pt>
                <c:pt idx="37">
                  <c:v>2008 February</c:v>
                </c:pt>
                <c:pt idx="38">
                  <c:v>2008 March</c:v>
                </c:pt>
                <c:pt idx="39">
                  <c:v>2008 April</c:v>
                </c:pt>
                <c:pt idx="40">
                  <c:v>2008 May</c:v>
                </c:pt>
                <c:pt idx="41">
                  <c:v>2008 June</c:v>
                </c:pt>
                <c:pt idx="42">
                  <c:v>2008 July</c:v>
                </c:pt>
                <c:pt idx="43">
                  <c:v>2008 August</c:v>
                </c:pt>
                <c:pt idx="44">
                  <c:v>2008 September</c:v>
                </c:pt>
                <c:pt idx="45">
                  <c:v>2008 October</c:v>
                </c:pt>
                <c:pt idx="46">
                  <c:v>2008 November</c:v>
                </c:pt>
                <c:pt idx="47">
                  <c:v>2008 December</c:v>
                </c:pt>
                <c:pt idx="48">
                  <c:v>2009 January</c:v>
                </c:pt>
                <c:pt idx="49">
                  <c:v>2009 February</c:v>
                </c:pt>
                <c:pt idx="50">
                  <c:v>2009 March</c:v>
                </c:pt>
                <c:pt idx="51">
                  <c:v>2009 April</c:v>
                </c:pt>
                <c:pt idx="52">
                  <c:v>2009 May</c:v>
                </c:pt>
                <c:pt idx="53">
                  <c:v>2009 June</c:v>
                </c:pt>
                <c:pt idx="54">
                  <c:v>2009 July</c:v>
                </c:pt>
                <c:pt idx="55">
                  <c:v>2009 August</c:v>
                </c:pt>
                <c:pt idx="56">
                  <c:v>2009 September</c:v>
                </c:pt>
                <c:pt idx="57">
                  <c:v>2009 October</c:v>
                </c:pt>
                <c:pt idx="58">
                  <c:v>2009 November</c:v>
                </c:pt>
                <c:pt idx="59">
                  <c:v>2009 December</c:v>
                </c:pt>
                <c:pt idx="60">
                  <c:v>2010 January</c:v>
                </c:pt>
                <c:pt idx="61">
                  <c:v>2010 February</c:v>
                </c:pt>
                <c:pt idx="62">
                  <c:v>2010 March</c:v>
                </c:pt>
                <c:pt idx="63">
                  <c:v>2010 April</c:v>
                </c:pt>
                <c:pt idx="64">
                  <c:v>2010 May</c:v>
                </c:pt>
                <c:pt idx="65">
                  <c:v>2010 June</c:v>
                </c:pt>
                <c:pt idx="66">
                  <c:v>2010 July</c:v>
                </c:pt>
                <c:pt idx="67">
                  <c:v>2010 August</c:v>
                </c:pt>
                <c:pt idx="68">
                  <c:v>2010 September</c:v>
                </c:pt>
                <c:pt idx="69">
                  <c:v>2010 October</c:v>
                </c:pt>
                <c:pt idx="70">
                  <c:v>2010 November</c:v>
                </c:pt>
                <c:pt idx="71">
                  <c:v>2010 December</c:v>
                </c:pt>
                <c:pt idx="72">
                  <c:v>2011 January</c:v>
                </c:pt>
                <c:pt idx="73">
                  <c:v>2011 February</c:v>
                </c:pt>
                <c:pt idx="74">
                  <c:v>2011 March</c:v>
                </c:pt>
                <c:pt idx="75">
                  <c:v>2011 April</c:v>
                </c:pt>
                <c:pt idx="76">
                  <c:v>2011 May</c:v>
                </c:pt>
                <c:pt idx="77">
                  <c:v>2011 June</c:v>
                </c:pt>
                <c:pt idx="78">
                  <c:v>2011 July</c:v>
                </c:pt>
                <c:pt idx="79">
                  <c:v>2011 August</c:v>
                </c:pt>
                <c:pt idx="80">
                  <c:v>2011 September</c:v>
                </c:pt>
                <c:pt idx="81">
                  <c:v>2011 October</c:v>
                </c:pt>
                <c:pt idx="82">
                  <c:v>2011 November</c:v>
                </c:pt>
                <c:pt idx="83">
                  <c:v>2011 December</c:v>
                </c:pt>
                <c:pt idx="84">
                  <c:v>2012 January</c:v>
                </c:pt>
                <c:pt idx="85">
                  <c:v>2012 February</c:v>
                </c:pt>
                <c:pt idx="86">
                  <c:v>2012 March</c:v>
                </c:pt>
                <c:pt idx="87">
                  <c:v>2012 April</c:v>
                </c:pt>
                <c:pt idx="88">
                  <c:v>2012 May</c:v>
                </c:pt>
                <c:pt idx="89">
                  <c:v>2012 June</c:v>
                </c:pt>
                <c:pt idx="90">
                  <c:v>2012 July</c:v>
                </c:pt>
                <c:pt idx="91">
                  <c:v>2012 August</c:v>
                </c:pt>
                <c:pt idx="92">
                  <c:v>2012 September</c:v>
                </c:pt>
                <c:pt idx="93">
                  <c:v>2012 October</c:v>
                </c:pt>
                <c:pt idx="94">
                  <c:v>2012 November</c:v>
                </c:pt>
                <c:pt idx="95">
                  <c:v>2012 December</c:v>
                </c:pt>
                <c:pt idx="96">
                  <c:v>2013 January</c:v>
                </c:pt>
                <c:pt idx="97">
                  <c:v>2013 February</c:v>
                </c:pt>
                <c:pt idx="98">
                  <c:v>2013 March</c:v>
                </c:pt>
                <c:pt idx="99">
                  <c:v>2013 April</c:v>
                </c:pt>
                <c:pt idx="100">
                  <c:v>2013 May</c:v>
                </c:pt>
                <c:pt idx="101">
                  <c:v>2013 June</c:v>
                </c:pt>
                <c:pt idx="102">
                  <c:v>2013 July</c:v>
                </c:pt>
                <c:pt idx="103">
                  <c:v>2013 August</c:v>
                </c:pt>
                <c:pt idx="104">
                  <c:v>2013 September</c:v>
                </c:pt>
                <c:pt idx="105">
                  <c:v>2013 October</c:v>
                </c:pt>
                <c:pt idx="106">
                  <c:v>2013 November</c:v>
                </c:pt>
                <c:pt idx="107">
                  <c:v>2013 December</c:v>
                </c:pt>
                <c:pt idx="108">
                  <c:v>2014 January</c:v>
                </c:pt>
                <c:pt idx="109">
                  <c:v>2014 February</c:v>
                </c:pt>
                <c:pt idx="110">
                  <c:v>2014 March</c:v>
                </c:pt>
                <c:pt idx="111">
                  <c:v>2014 April</c:v>
                </c:pt>
                <c:pt idx="112">
                  <c:v>2014 May</c:v>
                </c:pt>
                <c:pt idx="113">
                  <c:v>2014 June</c:v>
                </c:pt>
                <c:pt idx="114">
                  <c:v>2014 July</c:v>
                </c:pt>
                <c:pt idx="115">
                  <c:v>2014 August</c:v>
                </c:pt>
                <c:pt idx="116">
                  <c:v>2014 September</c:v>
                </c:pt>
                <c:pt idx="117">
                  <c:v>2014 October</c:v>
                </c:pt>
                <c:pt idx="118">
                  <c:v>2014 November</c:v>
                </c:pt>
                <c:pt idx="119">
                  <c:v>2014 December</c:v>
                </c:pt>
                <c:pt idx="120">
                  <c:v>2015 January</c:v>
                </c:pt>
                <c:pt idx="121">
                  <c:v>2015 February</c:v>
                </c:pt>
                <c:pt idx="122">
                  <c:v>2015 March</c:v>
                </c:pt>
                <c:pt idx="123">
                  <c:v>2015 April</c:v>
                </c:pt>
                <c:pt idx="124">
                  <c:v>2015 May</c:v>
                </c:pt>
                <c:pt idx="125">
                  <c:v>2015 June</c:v>
                </c:pt>
                <c:pt idx="126">
                  <c:v>2015 July</c:v>
                </c:pt>
                <c:pt idx="127">
                  <c:v>2015 August</c:v>
                </c:pt>
                <c:pt idx="128">
                  <c:v>2015 September</c:v>
                </c:pt>
                <c:pt idx="129">
                  <c:v>2015 October</c:v>
                </c:pt>
                <c:pt idx="130">
                  <c:v>2015 November</c:v>
                </c:pt>
                <c:pt idx="131">
                  <c:v>2015 December</c:v>
                </c:pt>
                <c:pt idx="132">
                  <c:v>2016 January</c:v>
                </c:pt>
                <c:pt idx="133">
                  <c:v>2016 February</c:v>
                </c:pt>
                <c:pt idx="134">
                  <c:v>2016 March</c:v>
                </c:pt>
                <c:pt idx="135">
                  <c:v>2016 April</c:v>
                </c:pt>
                <c:pt idx="136">
                  <c:v>2016 May</c:v>
                </c:pt>
                <c:pt idx="137">
                  <c:v>2016 June</c:v>
                </c:pt>
                <c:pt idx="138">
                  <c:v>2016 July</c:v>
                </c:pt>
                <c:pt idx="139">
                  <c:v>2016 August</c:v>
                </c:pt>
                <c:pt idx="140">
                  <c:v>2016 September</c:v>
                </c:pt>
                <c:pt idx="141">
                  <c:v>2016 October</c:v>
                </c:pt>
                <c:pt idx="142">
                  <c:v>2016 November</c:v>
                </c:pt>
                <c:pt idx="143">
                  <c:v>2016 December</c:v>
                </c:pt>
                <c:pt idx="144">
                  <c:v>2017 January</c:v>
                </c:pt>
                <c:pt idx="145">
                  <c:v>2017 February</c:v>
                </c:pt>
                <c:pt idx="146">
                  <c:v>2017 March</c:v>
                </c:pt>
                <c:pt idx="147">
                  <c:v>2017 April</c:v>
                </c:pt>
                <c:pt idx="148">
                  <c:v>2017 May</c:v>
                </c:pt>
                <c:pt idx="149">
                  <c:v>2017 June</c:v>
                </c:pt>
                <c:pt idx="150">
                  <c:v>2017 July</c:v>
                </c:pt>
                <c:pt idx="151">
                  <c:v>2017 August</c:v>
                </c:pt>
                <c:pt idx="152">
                  <c:v>2017 September</c:v>
                </c:pt>
                <c:pt idx="153">
                  <c:v>2017 October</c:v>
                </c:pt>
                <c:pt idx="154">
                  <c:v>2017 November</c:v>
                </c:pt>
                <c:pt idx="155">
                  <c:v>2017 December</c:v>
                </c:pt>
                <c:pt idx="156">
                  <c:v>2018 January</c:v>
                </c:pt>
                <c:pt idx="157">
                  <c:v>2018 February</c:v>
                </c:pt>
                <c:pt idx="158">
                  <c:v>2018 March</c:v>
                </c:pt>
                <c:pt idx="159">
                  <c:v>2018 April</c:v>
                </c:pt>
                <c:pt idx="160">
                  <c:v>2018 May</c:v>
                </c:pt>
                <c:pt idx="161">
                  <c:v>2018 June</c:v>
                </c:pt>
                <c:pt idx="162">
                  <c:v>2018 July</c:v>
                </c:pt>
                <c:pt idx="163">
                  <c:v>2018 August</c:v>
                </c:pt>
                <c:pt idx="164">
                  <c:v>2018 September</c:v>
                </c:pt>
                <c:pt idx="165">
                  <c:v>2018 October</c:v>
                </c:pt>
                <c:pt idx="166">
                  <c:v>2018 November</c:v>
                </c:pt>
                <c:pt idx="167">
                  <c:v>2018 December</c:v>
                </c:pt>
                <c:pt idx="168">
                  <c:v>2019 January</c:v>
                </c:pt>
                <c:pt idx="169">
                  <c:v>2019 February</c:v>
                </c:pt>
                <c:pt idx="170">
                  <c:v>2019 March</c:v>
                </c:pt>
                <c:pt idx="171">
                  <c:v>2019 April</c:v>
                </c:pt>
                <c:pt idx="172">
                  <c:v>2019 May</c:v>
                </c:pt>
                <c:pt idx="173">
                  <c:v>2019 June</c:v>
                </c:pt>
                <c:pt idx="174">
                  <c:v>2019 July</c:v>
                </c:pt>
                <c:pt idx="175">
                  <c:v>2019 August</c:v>
                </c:pt>
                <c:pt idx="176">
                  <c:v>2019 September</c:v>
                </c:pt>
                <c:pt idx="177">
                  <c:v>2019 October</c:v>
                </c:pt>
                <c:pt idx="178">
                  <c:v>2019 November</c:v>
                </c:pt>
                <c:pt idx="179">
                  <c:v>2019 December</c:v>
                </c:pt>
                <c:pt idx="180">
                  <c:v>2020 January</c:v>
                </c:pt>
                <c:pt idx="181">
                  <c:v>2020 February</c:v>
                </c:pt>
                <c:pt idx="182">
                  <c:v>2020 March</c:v>
                </c:pt>
                <c:pt idx="183">
                  <c:v>2020 April</c:v>
                </c:pt>
                <c:pt idx="184">
                  <c:v>2020 May</c:v>
                </c:pt>
                <c:pt idx="185">
                  <c:v>2020 June</c:v>
                </c:pt>
                <c:pt idx="186">
                  <c:v>2020 July</c:v>
                </c:pt>
                <c:pt idx="187">
                  <c:v>2020 August</c:v>
                </c:pt>
                <c:pt idx="188">
                  <c:v>2020 September</c:v>
                </c:pt>
                <c:pt idx="189">
                  <c:v>2020 October</c:v>
                </c:pt>
                <c:pt idx="190">
                  <c:v>2020 November</c:v>
                </c:pt>
                <c:pt idx="191">
                  <c:v>2020 December</c:v>
                </c:pt>
                <c:pt idx="192">
                  <c:v>2021 January</c:v>
                </c:pt>
                <c:pt idx="193">
                  <c:v>2021 February</c:v>
                </c:pt>
                <c:pt idx="194">
                  <c:v>2021 March</c:v>
                </c:pt>
                <c:pt idx="195">
                  <c:v>2021 April</c:v>
                </c:pt>
                <c:pt idx="196">
                  <c:v>2021 May</c:v>
                </c:pt>
                <c:pt idx="197">
                  <c:v>2021 June</c:v>
                </c:pt>
                <c:pt idx="198">
                  <c:v>2021 July</c:v>
                </c:pt>
                <c:pt idx="199">
                  <c:v>2021 August</c:v>
                </c:pt>
                <c:pt idx="200">
                  <c:v>2021 September</c:v>
                </c:pt>
                <c:pt idx="201">
                  <c:v>2021 October</c:v>
                </c:pt>
                <c:pt idx="202">
                  <c:v>2021 November</c:v>
                </c:pt>
                <c:pt idx="203">
                  <c:v>2021 December</c:v>
                </c:pt>
                <c:pt idx="204">
                  <c:v>2022 January</c:v>
                </c:pt>
                <c:pt idx="205">
                  <c:v>2022 February</c:v>
                </c:pt>
                <c:pt idx="206">
                  <c:v>2022 March</c:v>
                </c:pt>
                <c:pt idx="207">
                  <c:v>2022 April</c:v>
                </c:pt>
                <c:pt idx="208">
                  <c:v>2022 May</c:v>
                </c:pt>
                <c:pt idx="209">
                  <c:v>2022 June</c:v>
                </c:pt>
                <c:pt idx="210">
                  <c:v>2022 July</c:v>
                </c:pt>
                <c:pt idx="211">
                  <c:v>2022 August</c:v>
                </c:pt>
                <c:pt idx="212">
                  <c:v>2022 September</c:v>
                </c:pt>
                <c:pt idx="213">
                  <c:v>2022 October</c:v>
                </c:pt>
                <c:pt idx="214">
                  <c:v>2022 November</c:v>
                </c:pt>
                <c:pt idx="215">
                  <c:v>2022 December</c:v>
                </c:pt>
                <c:pt idx="216">
                  <c:v>2023 January</c:v>
                </c:pt>
                <c:pt idx="217">
                  <c:v>2023 February</c:v>
                </c:pt>
                <c:pt idx="218">
                  <c:v>2023 March</c:v>
                </c:pt>
                <c:pt idx="219">
                  <c:v>2023 April</c:v>
                </c:pt>
                <c:pt idx="220">
                  <c:v>2023 May</c:v>
                </c:pt>
                <c:pt idx="221">
                  <c:v>2023 June</c:v>
                </c:pt>
                <c:pt idx="222">
                  <c:v>2023 July</c:v>
                </c:pt>
                <c:pt idx="223">
                  <c:v>2023 August</c:v>
                </c:pt>
                <c:pt idx="224">
                  <c:v>2023 September</c:v>
                </c:pt>
                <c:pt idx="225">
                  <c:v>2023 October</c:v>
                </c:pt>
                <c:pt idx="226">
                  <c:v>2023 November</c:v>
                </c:pt>
                <c:pt idx="227">
                  <c:v>2023 December</c:v>
                </c:pt>
                <c:pt idx="228">
                  <c:v>2024 January</c:v>
                </c:pt>
                <c:pt idx="229">
                  <c:v>2024 February</c:v>
                </c:pt>
                <c:pt idx="230">
                  <c:v>2024 March</c:v>
                </c:pt>
                <c:pt idx="231">
                  <c:v>2024 April</c:v>
                </c:pt>
                <c:pt idx="232">
                  <c:v>2024 May</c:v>
                </c:pt>
                <c:pt idx="233">
                  <c:v>2024 June</c:v>
                </c:pt>
                <c:pt idx="234">
                  <c:v>2024 July</c:v>
                </c:pt>
                <c:pt idx="235">
                  <c:v>2024 August</c:v>
                </c:pt>
                <c:pt idx="236">
                  <c:v>2024 September</c:v>
                </c:pt>
                <c:pt idx="237">
                  <c:v>2024 October</c:v>
                </c:pt>
                <c:pt idx="238">
                  <c:v>2024 November</c:v>
                </c:pt>
                <c:pt idx="239">
                  <c:v>2024 December</c:v>
                </c:pt>
              </c:strCache>
            </c:strRef>
          </c:cat>
          <c:val>
            <c:numRef>
              <c:f>'[1]Monthly production 2000-2024'!$B$3:$IG$3</c:f>
              <c:numCache>
                <c:formatCode>General</c:formatCode>
                <c:ptCount val="240"/>
                <c:pt idx="0">
                  <c:v>824</c:v>
                </c:pt>
                <c:pt idx="1">
                  <c:v>1011</c:v>
                </c:pt>
                <c:pt idx="2">
                  <c:v>1094</c:v>
                </c:pt>
                <c:pt idx="3">
                  <c:v>606</c:v>
                </c:pt>
                <c:pt idx="4">
                  <c:v>616</c:v>
                </c:pt>
                <c:pt idx="5">
                  <c:v>572</c:v>
                </c:pt>
                <c:pt idx="6">
                  <c:v>677</c:v>
                </c:pt>
                <c:pt idx="7">
                  <c:v>744</c:v>
                </c:pt>
                <c:pt idx="8">
                  <c:v>1161</c:v>
                </c:pt>
                <c:pt idx="9">
                  <c:v>1057</c:v>
                </c:pt>
                <c:pt idx="10">
                  <c:v>881</c:v>
                </c:pt>
                <c:pt idx="11">
                  <c:v>941</c:v>
                </c:pt>
                <c:pt idx="12">
                  <c:v>1018</c:v>
                </c:pt>
                <c:pt idx="13">
                  <c:v>949</c:v>
                </c:pt>
                <c:pt idx="14">
                  <c:v>951</c:v>
                </c:pt>
                <c:pt idx="15">
                  <c:v>652</c:v>
                </c:pt>
                <c:pt idx="16">
                  <c:v>724</c:v>
                </c:pt>
                <c:pt idx="17">
                  <c:v>626</c:v>
                </c:pt>
                <c:pt idx="18">
                  <c:v>644</c:v>
                </c:pt>
                <c:pt idx="19">
                  <c:v>876</c:v>
                </c:pt>
                <c:pt idx="20">
                  <c:v>636</c:v>
                </c:pt>
                <c:pt idx="21">
                  <c:v>888</c:v>
                </c:pt>
                <c:pt idx="22">
                  <c:v>864</c:v>
                </c:pt>
                <c:pt idx="23">
                  <c:v>871</c:v>
                </c:pt>
                <c:pt idx="24">
                  <c:v>939</c:v>
                </c:pt>
                <c:pt idx="25">
                  <c:v>1025</c:v>
                </c:pt>
                <c:pt idx="26">
                  <c:v>1000</c:v>
                </c:pt>
                <c:pt idx="27">
                  <c:v>895</c:v>
                </c:pt>
                <c:pt idx="28">
                  <c:v>891</c:v>
                </c:pt>
                <c:pt idx="29">
                  <c:v>836</c:v>
                </c:pt>
                <c:pt idx="30">
                  <c:v>926</c:v>
                </c:pt>
                <c:pt idx="31">
                  <c:v>1007</c:v>
                </c:pt>
                <c:pt idx="32">
                  <c:v>1100</c:v>
                </c:pt>
                <c:pt idx="33">
                  <c:v>1137</c:v>
                </c:pt>
                <c:pt idx="34">
                  <c:v>1182</c:v>
                </c:pt>
                <c:pt idx="35">
                  <c:v>1201</c:v>
                </c:pt>
                <c:pt idx="36">
                  <c:v>1149</c:v>
                </c:pt>
                <c:pt idx="37">
                  <c:v>996</c:v>
                </c:pt>
                <c:pt idx="38">
                  <c:v>762</c:v>
                </c:pt>
                <c:pt idx="39">
                  <c:v>749</c:v>
                </c:pt>
                <c:pt idx="40">
                  <c:v>675</c:v>
                </c:pt>
                <c:pt idx="41">
                  <c:v>599</c:v>
                </c:pt>
                <c:pt idx="42">
                  <c:v>658</c:v>
                </c:pt>
                <c:pt idx="43">
                  <c:v>970</c:v>
                </c:pt>
                <c:pt idx="44">
                  <c:v>1042</c:v>
                </c:pt>
                <c:pt idx="45">
                  <c:v>1011</c:v>
                </c:pt>
                <c:pt idx="46">
                  <c:v>957</c:v>
                </c:pt>
                <c:pt idx="47">
                  <c:v>981</c:v>
                </c:pt>
                <c:pt idx="48">
                  <c:v>1036</c:v>
                </c:pt>
                <c:pt idx="49">
                  <c:v>948</c:v>
                </c:pt>
                <c:pt idx="50">
                  <c:v>901</c:v>
                </c:pt>
                <c:pt idx="51">
                  <c:v>603</c:v>
                </c:pt>
                <c:pt idx="52">
                  <c:v>577</c:v>
                </c:pt>
                <c:pt idx="53">
                  <c:v>724</c:v>
                </c:pt>
                <c:pt idx="54">
                  <c:v>554</c:v>
                </c:pt>
                <c:pt idx="55">
                  <c:v>594</c:v>
                </c:pt>
                <c:pt idx="56">
                  <c:v>671</c:v>
                </c:pt>
                <c:pt idx="57">
                  <c:v>673</c:v>
                </c:pt>
                <c:pt idx="58">
                  <c:v>649</c:v>
                </c:pt>
                <c:pt idx="59">
                  <c:v>808</c:v>
                </c:pt>
                <c:pt idx="60">
                  <c:v>1233</c:v>
                </c:pt>
                <c:pt idx="61">
                  <c:v>1132</c:v>
                </c:pt>
                <c:pt idx="62">
                  <c:v>1183</c:v>
                </c:pt>
                <c:pt idx="63">
                  <c:v>854</c:v>
                </c:pt>
                <c:pt idx="64">
                  <c:v>950</c:v>
                </c:pt>
                <c:pt idx="65">
                  <c:v>945</c:v>
                </c:pt>
                <c:pt idx="66">
                  <c:v>959</c:v>
                </c:pt>
                <c:pt idx="67">
                  <c:v>907</c:v>
                </c:pt>
                <c:pt idx="68">
                  <c:v>943</c:v>
                </c:pt>
                <c:pt idx="69">
                  <c:v>1109</c:v>
                </c:pt>
                <c:pt idx="70">
                  <c:v>1160</c:v>
                </c:pt>
                <c:pt idx="71">
                  <c:v>1375</c:v>
                </c:pt>
                <c:pt idx="72">
                  <c:v>1362</c:v>
                </c:pt>
                <c:pt idx="73">
                  <c:v>1127</c:v>
                </c:pt>
                <c:pt idx="74">
                  <c:v>1255</c:v>
                </c:pt>
                <c:pt idx="75">
                  <c:v>895</c:v>
                </c:pt>
                <c:pt idx="76">
                  <c:v>972</c:v>
                </c:pt>
                <c:pt idx="77">
                  <c:v>1012</c:v>
                </c:pt>
                <c:pt idx="78">
                  <c:v>946</c:v>
                </c:pt>
                <c:pt idx="79">
                  <c:v>1019</c:v>
                </c:pt>
                <c:pt idx="80">
                  <c:v>934</c:v>
                </c:pt>
                <c:pt idx="81">
                  <c:v>963</c:v>
                </c:pt>
                <c:pt idx="82">
                  <c:v>1191</c:v>
                </c:pt>
                <c:pt idx="83">
                  <c:v>1194</c:v>
                </c:pt>
                <c:pt idx="84">
                  <c:v>1076</c:v>
                </c:pt>
                <c:pt idx="85">
                  <c:v>1090</c:v>
                </c:pt>
                <c:pt idx="86">
                  <c:v>931</c:v>
                </c:pt>
                <c:pt idx="87">
                  <c:v>878</c:v>
                </c:pt>
                <c:pt idx="88">
                  <c:v>902</c:v>
                </c:pt>
                <c:pt idx="89">
                  <c:v>868</c:v>
                </c:pt>
                <c:pt idx="90">
                  <c:v>780</c:v>
                </c:pt>
                <c:pt idx="91">
                  <c:v>1058</c:v>
                </c:pt>
                <c:pt idx="92">
                  <c:v>971</c:v>
                </c:pt>
                <c:pt idx="93">
                  <c:v>1066</c:v>
                </c:pt>
                <c:pt idx="94">
                  <c:v>1099</c:v>
                </c:pt>
                <c:pt idx="95">
                  <c:v>1247</c:v>
                </c:pt>
                <c:pt idx="96">
                  <c:v>1330</c:v>
                </c:pt>
                <c:pt idx="97">
                  <c:v>1208</c:v>
                </c:pt>
                <c:pt idx="98">
                  <c:v>1249</c:v>
                </c:pt>
                <c:pt idx="99">
                  <c:v>1050</c:v>
                </c:pt>
                <c:pt idx="100">
                  <c:v>1060</c:v>
                </c:pt>
                <c:pt idx="101">
                  <c:v>942</c:v>
                </c:pt>
                <c:pt idx="102">
                  <c:v>974</c:v>
                </c:pt>
                <c:pt idx="103">
                  <c:v>1097</c:v>
                </c:pt>
                <c:pt idx="104">
                  <c:v>1131</c:v>
                </c:pt>
                <c:pt idx="105">
                  <c:v>1188</c:v>
                </c:pt>
                <c:pt idx="106">
                  <c:v>1101</c:v>
                </c:pt>
                <c:pt idx="107">
                  <c:v>945</c:v>
                </c:pt>
                <c:pt idx="108">
                  <c:v>1071</c:v>
                </c:pt>
                <c:pt idx="109">
                  <c:v>990</c:v>
                </c:pt>
                <c:pt idx="110">
                  <c:v>986</c:v>
                </c:pt>
                <c:pt idx="111">
                  <c:v>914</c:v>
                </c:pt>
                <c:pt idx="112">
                  <c:v>1009</c:v>
                </c:pt>
                <c:pt idx="113">
                  <c:v>1061</c:v>
                </c:pt>
                <c:pt idx="114">
                  <c:v>1041</c:v>
                </c:pt>
                <c:pt idx="115">
                  <c:v>970</c:v>
                </c:pt>
                <c:pt idx="116">
                  <c:v>989</c:v>
                </c:pt>
                <c:pt idx="117">
                  <c:v>1106</c:v>
                </c:pt>
                <c:pt idx="118">
                  <c:v>1083</c:v>
                </c:pt>
                <c:pt idx="119">
                  <c:v>1159</c:v>
                </c:pt>
                <c:pt idx="120">
                  <c:v>1127</c:v>
                </c:pt>
                <c:pt idx="121">
                  <c:v>1074</c:v>
                </c:pt>
                <c:pt idx="122">
                  <c:v>846</c:v>
                </c:pt>
                <c:pt idx="123">
                  <c:v>782</c:v>
                </c:pt>
                <c:pt idx="124">
                  <c:v>873</c:v>
                </c:pt>
                <c:pt idx="125">
                  <c:v>614</c:v>
                </c:pt>
                <c:pt idx="126">
                  <c:v>658</c:v>
                </c:pt>
                <c:pt idx="127">
                  <c:v>775</c:v>
                </c:pt>
                <c:pt idx="128">
                  <c:v>900</c:v>
                </c:pt>
                <c:pt idx="129">
                  <c:v>886</c:v>
                </c:pt>
                <c:pt idx="130">
                  <c:v>891</c:v>
                </c:pt>
                <c:pt idx="131">
                  <c:v>900</c:v>
                </c:pt>
                <c:pt idx="132">
                  <c:v>1247</c:v>
                </c:pt>
                <c:pt idx="133">
                  <c:v>861</c:v>
                </c:pt>
                <c:pt idx="134">
                  <c:v>782</c:v>
                </c:pt>
                <c:pt idx="135">
                  <c:v>851</c:v>
                </c:pt>
                <c:pt idx="136">
                  <c:v>707</c:v>
                </c:pt>
                <c:pt idx="137">
                  <c:v>752</c:v>
                </c:pt>
                <c:pt idx="138">
                  <c:v>948</c:v>
                </c:pt>
                <c:pt idx="139">
                  <c:v>1153</c:v>
                </c:pt>
                <c:pt idx="140">
                  <c:v>1192</c:v>
                </c:pt>
                <c:pt idx="141">
                  <c:v>1222</c:v>
                </c:pt>
                <c:pt idx="142">
                  <c:v>1239</c:v>
                </c:pt>
                <c:pt idx="143">
                  <c:v>1096</c:v>
                </c:pt>
                <c:pt idx="144">
                  <c:v>1316</c:v>
                </c:pt>
                <c:pt idx="145">
                  <c:v>1145</c:v>
                </c:pt>
                <c:pt idx="146">
                  <c:v>1208</c:v>
                </c:pt>
                <c:pt idx="147">
                  <c:v>1037</c:v>
                </c:pt>
                <c:pt idx="148">
                  <c:v>1191</c:v>
                </c:pt>
                <c:pt idx="149">
                  <c:v>1021</c:v>
                </c:pt>
                <c:pt idx="150">
                  <c:v>901</c:v>
                </c:pt>
                <c:pt idx="151">
                  <c:v>986</c:v>
                </c:pt>
                <c:pt idx="152">
                  <c:v>952</c:v>
                </c:pt>
                <c:pt idx="153">
                  <c:v>1114</c:v>
                </c:pt>
                <c:pt idx="154">
                  <c:v>1131</c:v>
                </c:pt>
                <c:pt idx="155">
                  <c:v>1027</c:v>
                </c:pt>
                <c:pt idx="156">
                  <c:v>1180</c:v>
                </c:pt>
                <c:pt idx="157">
                  <c:v>1090</c:v>
                </c:pt>
                <c:pt idx="158">
                  <c:v>1321</c:v>
                </c:pt>
                <c:pt idx="159">
                  <c:v>1152</c:v>
                </c:pt>
                <c:pt idx="160">
                  <c:v>830</c:v>
                </c:pt>
                <c:pt idx="161">
                  <c:v>808</c:v>
                </c:pt>
                <c:pt idx="162">
                  <c:v>955</c:v>
                </c:pt>
                <c:pt idx="163">
                  <c:v>1080</c:v>
                </c:pt>
                <c:pt idx="164">
                  <c:v>960</c:v>
                </c:pt>
                <c:pt idx="165">
                  <c:v>961</c:v>
                </c:pt>
                <c:pt idx="166">
                  <c:v>1096</c:v>
                </c:pt>
                <c:pt idx="167">
                  <c:v>894</c:v>
                </c:pt>
                <c:pt idx="168">
                  <c:v>1218</c:v>
                </c:pt>
                <c:pt idx="169">
                  <c:v>804</c:v>
                </c:pt>
                <c:pt idx="170">
                  <c:v>796</c:v>
                </c:pt>
                <c:pt idx="171">
                  <c:v>721</c:v>
                </c:pt>
                <c:pt idx="172">
                  <c:v>554</c:v>
                </c:pt>
                <c:pt idx="173">
                  <c:v>374</c:v>
                </c:pt>
                <c:pt idx="174">
                  <c:v>372</c:v>
                </c:pt>
                <c:pt idx="175">
                  <c:v>476</c:v>
                </c:pt>
                <c:pt idx="176">
                  <c:v>550</c:v>
                </c:pt>
                <c:pt idx="177">
                  <c:v>519</c:v>
                </c:pt>
                <c:pt idx="178">
                  <c:v>629</c:v>
                </c:pt>
                <c:pt idx="179">
                  <c:v>557</c:v>
                </c:pt>
                <c:pt idx="180">
                  <c:v>500</c:v>
                </c:pt>
                <c:pt idx="181">
                  <c:v>423</c:v>
                </c:pt>
                <c:pt idx="182">
                  <c:v>453</c:v>
                </c:pt>
                <c:pt idx="183">
                  <c:v>324</c:v>
                </c:pt>
                <c:pt idx="184">
                  <c:v>328</c:v>
                </c:pt>
                <c:pt idx="185">
                  <c:v>387</c:v>
                </c:pt>
                <c:pt idx="186">
                  <c:v>392</c:v>
                </c:pt>
                <c:pt idx="187">
                  <c:v>619</c:v>
                </c:pt>
                <c:pt idx="188">
                  <c:v>543</c:v>
                </c:pt>
                <c:pt idx="189">
                  <c:v>547</c:v>
                </c:pt>
                <c:pt idx="190">
                  <c:v>538</c:v>
                </c:pt>
                <c:pt idx="191">
                  <c:v>575</c:v>
                </c:pt>
                <c:pt idx="192">
                  <c:v>667</c:v>
                </c:pt>
                <c:pt idx="193">
                  <c:v>682</c:v>
                </c:pt>
                <c:pt idx="194">
                  <c:v>464</c:v>
                </c:pt>
                <c:pt idx="195">
                  <c:v>462</c:v>
                </c:pt>
                <c:pt idx="196">
                  <c:v>425</c:v>
                </c:pt>
                <c:pt idx="197">
                  <c:v>506</c:v>
                </c:pt>
                <c:pt idx="198">
                  <c:v>547</c:v>
                </c:pt>
                <c:pt idx="199">
                  <c:v>486</c:v>
                </c:pt>
                <c:pt idx="200">
                  <c:v>647</c:v>
                </c:pt>
                <c:pt idx="201">
                  <c:v>683</c:v>
                </c:pt>
                <c:pt idx="202">
                  <c:v>762</c:v>
                </c:pt>
                <c:pt idx="203">
                  <c:v>961</c:v>
                </c:pt>
                <c:pt idx="204">
                  <c:v>820</c:v>
                </c:pt>
                <c:pt idx="205">
                  <c:v>589</c:v>
                </c:pt>
                <c:pt idx="206">
                  <c:v>875</c:v>
                </c:pt>
                <c:pt idx="207">
                  <c:v>591</c:v>
                </c:pt>
                <c:pt idx="208">
                  <c:v>800</c:v>
                </c:pt>
                <c:pt idx="209">
                  <c:v>691</c:v>
                </c:pt>
                <c:pt idx="210">
                  <c:v>641</c:v>
                </c:pt>
                <c:pt idx="211">
                  <c:v>625</c:v>
                </c:pt>
                <c:pt idx="212">
                  <c:v>791</c:v>
                </c:pt>
                <c:pt idx="213">
                  <c:v>703</c:v>
                </c:pt>
                <c:pt idx="214">
                  <c:v>754</c:v>
                </c:pt>
                <c:pt idx="215">
                  <c:v>806</c:v>
                </c:pt>
                <c:pt idx="216">
                  <c:v>637</c:v>
                </c:pt>
                <c:pt idx="217">
                  <c:v>561</c:v>
                </c:pt>
                <c:pt idx="218">
                  <c:v>566</c:v>
                </c:pt>
                <c:pt idx="219">
                  <c:v>429</c:v>
                </c:pt>
                <c:pt idx="220">
                  <c:v>452</c:v>
                </c:pt>
                <c:pt idx="221">
                  <c:v>442</c:v>
                </c:pt>
                <c:pt idx="222">
                  <c:v>327</c:v>
                </c:pt>
                <c:pt idx="223">
                  <c:v>376</c:v>
                </c:pt>
                <c:pt idx="224">
                  <c:v>405</c:v>
                </c:pt>
                <c:pt idx="225">
                  <c:v>399</c:v>
                </c:pt>
                <c:pt idx="226">
                  <c:v>497</c:v>
                </c:pt>
                <c:pt idx="227">
                  <c:v>582</c:v>
                </c:pt>
                <c:pt idx="228">
                  <c:v>673</c:v>
                </c:pt>
                <c:pt idx="229">
                  <c:v>513</c:v>
                </c:pt>
                <c:pt idx="230">
                  <c:v>509</c:v>
                </c:pt>
                <c:pt idx="231">
                  <c:v>443</c:v>
                </c:pt>
                <c:pt idx="232">
                  <c:v>518</c:v>
                </c:pt>
                <c:pt idx="233">
                  <c:v>500</c:v>
                </c:pt>
                <c:pt idx="234">
                  <c:v>463</c:v>
                </c:pt>
                <c:pt idx="235">
                  <c:v>415</c:v>
                </c:pt>
                <c:pt idx="236">
                  <c:v>492</c:v>
                </c:pt>
                <c:pt idx="237">
                  <c:v>481</c:v>
                </c:pt>
                <c:pt idx="238">
                  <c:v>454</c:v>
                </c:pt>
                <c:pt idx="239">
                  <c:v>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1C-48B3-B174-15DFA803DB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12266736"/>
        <c:axId val="2112266256"/>
      </c:areaChart>
      <c:catAx>
        <c:axId val="211226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2266256"/>
        <c:crosses val="autoZero"/>
        <c:auto val="1"/>
        <c:lblAlgn val="ctr"/>
        <c:lblOffset val="100"/>
        <c:noMultiLvlLbl val="0"/>
      </c:catAx>
      <c:valAx>
        <c:axId val="2112266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22667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'Historical trend ass. Est_visua'!$B$107</c:f>
              <c:strCache>
                <c:ptCount val="1"/>
                <c:pt idx="0">
                  <c:v>Industry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'Historical trend ass. Est_visua'!$A$108:$A$131</c:f>
              <c:numCache>
                <c:formatCode>General</c:formatCod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numCache>
            </c:numRef>
          </c:cat>
          <c:val>
            <c:numRef>
              <c:f>'Historical trend ass. Est_visua'!$B$108:$B$131</c:f>
              <c:numCache>
                <c:formatCode>#,##0</c:formatCode>
                <c:ptCount val="24"/>
                <c:pt idx="0">
                  <c:v>1829</c:v>
                </c:pt>
                <c:pt idx="1">
                  <c:v>1814</c:v>
                </c:pt>
                <c:pt idx="2">
                  <c:v>1884</c:v>
                </c:pt>
                <c:pt idx="3">
                  <c:v>2030</c:v>
                </c:pt>
                <c:pt idx="4">
                  <c:v>2135</c:v>
                </c:pt>
                <c:pt idx="5">
                  <c:v>2160</c:v>
                </c:pt>
                <c:pt idx="6">
                  <c:v>2331</c:v>
                </c:pt>
                <c:pt idx="7">
                  <c:v>2386</c:v>
                </c:pt>
                <c:pt idx="8">
                  <c:v>2332</c:v>
                </c:pt>
                <c:pt idx="9">
                  <c:v>1941</c:v>
                </c:pt>
                <c:pt idx="10">
                  <c:v>2093</c:v>
                </c:pt>
                <c:pt idx="11">
                  <c:v>2055</c:v>
                </c:pt>
                <c:pt idx="12">
                  <c:v>2185</c:v>
                </c:pt>
                <c:pt idx="13">
                  <c:v>2154</c:v>
                </c:pt>
                <c:pt idx="14">
                  <c:v>2117</c:v>
                </c:pt>
                <c:pt idx="15">
                  <c:v>2057</c:v>
                </c:pt>
                <c:pt idx="16">
                  <c:v>2153</c:v>
                </c:pt>
                <c:pt idx="17">
                  <c:v>2201</c:v>
                </c:pt>
                <c:pt idx="18">
                  <c:v>2646</c:v>
                </c:pt>
                <c:pt idx="19">
                  <c:v>2131.68372</c:v>
                </c:pt>
                <c:pt idx="20">
                  <c:v>2128.9059200000002</c:v>
                </c:pt>
                <c:pt idx="21">
                  <c:v>2209.4621200000001</c:v>
                </c:pt>
                <c:pt idx="22">
                  <c:v>2088.3500400000003</c:v>
                </c:pt>
                <c:pt idx="23">
                  <c:v>1783.0698200000002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09-417F-90BD-3A7518B656D5}"/>
            </c:ext>
          </c:extLst>
        </c:ser>
        <c:ser>
          <c:idx val="1"/>
          <c:order val="1"/>
          <c:tx>
            <c:strRef>
              <c:f>'Historical trend ass. Est_visua'!$C$107</c:f>
              <c:strCache>
                <c:ptCount val="1"/>
                <c:pt idx="0">
                  <c:v>Transport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'Historical trend ass. Est_visua'!$A$108:$A$131</c:f>
              <c:numCache>
                <c:formatCode>General</c:formatCod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numCache>
            </c:numRef>
          </c:cat>
          <c:val>
            <c:numRef>
              <c:f>'Historical trend ass. Est_visua'!$C$108:$C$131</c:f>
              <c:numCache>
                <c:formatCode>0</c:formatCode>
                <c:ptCount val="24"/>
                <c:pt idx="0">
                  <c:v>92</c:v>
                </c:pt>
                <c:pt idx="1">
                  <c:v>83</c:v>
                </c:pt>
                <c:pt idx="2">
                  <c:v>96</c:v>
                </c:pt>
                <c:pt idx="3">
                  <c:v>97</c:v>
                </c:pt>
                <c:pt idx="4">
                  <c:v>99</c:v>
                </c:pt>
                <c:pt idx="5">
                  <c:v>103</c:v>
                </c:pt>
                <c:pt idx="6">
                  <c:v>83</c:v>
                </c:pt>
                <c:pt idx="7">
                  <c:v>77</c:v>
                </c:pt>
                <c:pt idx="8">
                  <c:v>80</c:v>
                </c:pt>
                <c:pt idx="9">
                  <c:v>59</c:v>
                </c:pt>
                <c:pt idx="10">
                  <c:v>57</c:v>
                </c:pt>
                <c:pt idx="11">
                  <c:v>52</c:v>
                </c:pt>
                <c:pt idx="12">
                  <c:v>56</c:v>
                </c:pt>
                <c:pt idx="13">
                  <c:v>54</c:v>
                </c:pt>
                <c:pt idx="14">
                  <c:v>50</c:v>
                </c:pt>
                <c:pt idx="15">
                  <c:v>47</c:v>
                </c:pt>
                <c:pt idx="16">
                  <c:v>48</c:v>
                </c:pt>
                <c:pt idx="17">
                  <c:v>66</c:v>
                </c:pt>
                <c:pt idx="18">
                  <c:v>88</c:v>
                </c:pt>
                <c:pt idx="19">
                  <c:v>55.833780000000004</c:v>
                </c:pt>
                <c:pt idx="20">
                  <c:v>67.778320000000008</c:v>
                </c:pt>
                <c:pt idx="21">
                  <c:v>29.722460000000002</c:v>
                </c:pt>
                <c:pt idx="22">
                  <c:v>32.222480000000004</c:v>
                </c:pt>
                <c:pt idx="23">
                  <c:v>59.444920000000003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09-417F-90BD-3A7518B656D5}"/>
            </c:ext>
          </c:extLst>
        </c:ser>
        <c:ser>
          <c:idx val="2"/>
          <c:order val="2"/>
          <c:tx>
            <c:strRef>
              <c:f>'Historical trend ass. Est_visua'!$D$107</c:f>
              <c:strCache>
                <c:ptCount val="1"/>
                <c:pt idx="0">
                  <c:v>Buildings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'Historical trend ass. Est_visua'!$A$108:$A$131</c:f>
              <c:numCache>
                <c:formatCode>General</c:formatCod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numCache>
            </c:numRef>
          </c:cat>
          <c:val>
            <c:numRef>
              <c:f>'Historical trend ass. Est_visua'!$D$108:$D$131</c:f>
              <c:numCache>
                <c:formatCode>0</c:formatCode>
                <c:ptCount val="24"/>
                <c:pt idx="0">
                  <c:v>2866.8445400000001</c:v>
                </c:pt>
                <c:pt idx="1">
                  <c:v>3063.9007200000001</c:v>
                </c:pt>
                <c:pt idx="2">
                  <c:v>3154.0125600000001</c:v>
                </c:pt>
                <c:pt idx="3">
                  <c:v>3257.9022000000004</c:v>
                </c:pt>
                <c:pt idx="4">
                  <c:v>3468.0147999999999</c:v>
                </c:pt>
                <c:pt idx="5">
                  <c:v>3548.9043200000001</c:v>
                </c:pt>
                <c:pt idx="6">
                  <c:v>3850.8507400000003</c:v>
                </c:pt>
                <c:pt idx="7">
                  <c:v>4130.7966400000005</c:v>
                </c:pt>
                <c:pt idx="8">
                  <c:v>4397.7982000000002</c:v>
                </c:pt>
                <c:pt idx="9">
                  <c:v>4442.9093599999997</c:v>
                </c:pt>
                <c:pt idx="10">
                  <c:v>4533.8534200000004</c:v>
                </c:pt>
                <c:pt idx="11">
                  <c:v>4311.7968000000001</c:v>
                </c:pt>
                <c:pt idx="12">
                  <c:v>4491.8536199999999</c:v>
                </c:pt>
                <c:pt idx="13">
                  <c:v>4394.7424600000004</c:v>
                </c:pt>
                <c:pt idx="14">
                  <c:v>4533.7445800000005</c:v>
                </c:pt>
                <c:pt idx="15">
                  <c:v>4540.8002800000004</c:v>
                </c:pt>
                <c:pt idx="16">
                  <c:v>4883.8571000000002</c:v>
                </c:pt>
                <c:pt idx="17">
                  <c:v>4655.31502</c:v>
                </c:pt>
                <c:pt idx="18">
                  <c:v>4792.538340000001</c:v>
                </c:pt>
                <c:pt idx="19">
                  <c:v>4990.8732600000003</c:v>
                </c:pt>
                <c:pt idx="20">
                  <c:v>4843.6498600000004</c:v>
                </c:pt>
                <c:pt idx="21">
                  <c:v>5484.7661000000007</c:v>
                </c:pt>
                <c:pt idx="22">
                  <c:v>4872.5389800000003</c:v>
                </c:pt>
                <c:pt idx="23">
                  <c:v>4013.0876600000001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09-417F-90BD-3A7518B656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4831904"/>
        <c:axId val="574828544"/>
      </c:lineChart>
      <c:catAx>
        <c:axId val="574831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4828544"/>
        <c:crosses val="autoZero"/>
        <c:auto val="1"/>
        <c:lblAlgn val="ctr"/>
        <c:lblOffset val="100"/>
        <c:noMultiLvlLbl val="0"/>
      </c:catAx>
      <c:valAx>
        <c:axId val="574828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4831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336870570604512"/>
          <c:y val="3.9568345323741004E-2"/>
          <c:w val="0.87323948142845775"/>
          <c:h val="0.60201689857260998"/>
        </c:manualLayout>
      </c:layout>
      <c:areaChart>
        <c:grouping val="stacked"/>
        <c:varyColors val="0"/>
        <c:ser>
          <c:idx val="1"/>
          <c:order val="1"/>
          <c:tx>
            <c:strRef>
              <c:f>'Historical trend ass. Est_visua'!$C$134</c:f>
              <c:strCache>
                <c:ptCount val="1"/>
                <c:pt idx="0">
                  <c:v>Hard coal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'Historical trend ass. Est_visua'!$A$135:$A$159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Est_visua'!$C$135:$C$159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12</c:v>
                </c:pt>
                <c:pt idx="14">
                  <c:v>6</c:v>
                </c:pt>
                <c:pt idx="15">
                  <c:v>0</c:v>
                </c:pt>
                <c:pt idx="16">
                  <c:v>0</c:v>
                </c:pt>
                <c:pt idx="17">
                  <c:v>18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2D-402A-941C-56B1DCCB03BB}"/>
            </c:ext>
          </c:extLst>
        </c:ser>
        <c:ser>
          <c:idx val="2"/>
          <c:order val="2"/>
          <c:tx>
            <c:strRef>
              <c:f>'Historical trend ass. Est_visua'!$D$134</c:f>
              <c:strCache>
                <c:ptCount val="1"/>
                <c:pt idx="0">
                  <c:v>Oil shale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'Historical trend ass. Est_visua'!$A$135:$A$159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Est_visua'!$D$135:$D$159</c:f>
              <c:numCache>
                <c:formatCode>#,##0</c:formatCode>
                <c:ptCount val="25"/>
                <c:pt idx="0">
                  <c:v>7719</c:v>
                </c:pt>
                <c:pt idx="1">
                  <c:v>7636</c:v>
                </c:pt>
                <c:pt idx="2">
                  <c:v>7729</c:v>
                </c:pt>
                <c:pt idx="3">
                  <c:v>9360</c:v>
                </c:pt>
                <c:pt idx="4">
                  <c:v>9510</c:v>
                </c:pt>
                <c:pt idx="5">
                  <c:v>9289</c:v>
                </c:pt>
                <c:pt idx="6">
                  <c:v>8773</c:v>
                </c:pt>
                <c:pt idx="7">
                  <c:v>11402</c:v>
                </c:pt>
                <c:pt idx="8">
                  <c:v>9629</c:v>
                </c:pt>
                <c:pt idx="9">
                  <c:v>7671</c:v>
                </c:pt>
                <c:pt idx="10">
                  <c:v>11043</c:v>
                </c:pt>
                <c:pt idx="11">
                  <c:v>10899</c:v>
                </c:pt>
                <c:pt idx="12">
                  <c:v>9699</c:v>
                </c:pt>
                <c:pt idx="13">
                  <c:v>11388</c:v>
                </c:pt>
                <c:pt idx="14">
                  <c:v>10246</c:v>
                </c:pt>
                <c:pt idx="15">
                  <c:v>7887</c:v>
                </c:pt>
                <c:pt idx="16">
                  <c:v>9623</c:v>
                </c:pt>
                <c:pt idx="17">
                  <c:v>9912</c:v>
                </c:pt>
                <c:pt idx="18">
                  <c:v>9380</c:v>
                </c:pt>
                <c:pt idx="19">
                  <c:v>4295</c:v>
                </c:pt>
                <c:pt idx="20">
                  <c:v>2225</c:v>
                </c:pt>
                <c:pt idx="21">
                  <c:v>3417</c:v>
                </c:pt>
                <c:pt idx="22">
                  <c:v>5078</c:v>
                </c:pt>
                <c:pt idx="23">
                  <c:v>1971</c:v>
                </c:pt>
                <c:pt idx="24">
                  <c:v>1507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2D-402A-941C-56B1DCCB03BB}"/>
            </c:ext>
          </c:extLst>
        </c:ser>
        <c:ser>
          <c:idx val="3"/>
          <c:order val="3"/>
          <c:tx>
            <c:strRef>
              <c:f>'Historical trend ass. Est_visua'!$E$134</c:f>
              <c:strCache>
                <c:ptCount val="1"/>
                <c:pt idx="0">
                  <c:v>Peat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'Historical trend ass. Est_visua'!$A$135:$A$159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Est_visua'!$E$135:$E$159</c:f>
              <c:numCache>
                <c:formatCode>General</c:formatCode>
                <c:ptCount val="25"/>
                <c:pt idx="0">
                  <c:v>19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15</c:v>
                </c:pt>
                <c:pt idx="5">
                  <c:v>14</c:v>
                </c:pt>
                <c:pt idx="6">
                  <c:v>16</c:v>
                </c:pt>
                <c:pt idx="7">
                  <c:v>22</c:v>
                </c:pt>
                <c:pt idx="8">
                  <c:v>15</c:v>
                </c:pt>
                <c:pt idx="9">
                  <c:v>62</c:v>
                </c:pt>
                <c:pt idx="10">
                  <c:v>122</c:v>
                </c:pt>
                <c:pt idx="11">
                  <c:v>86</c:v>
                </c:pt>
                <c:pt idx="12">
                  <c:v>98</c:v>
                </c:pt>
                <c:pt idx="13">
                  <c:v>71</c:v>
                </c:pt>
                <c:pt idx="14">
                  <c:v>53</c:v>
                </c:pt>
                <c:pt idx="15">
                  <c:v>50</c:v>
                </c:pt>
                <c:pt idx="16">
                  <c:v>50</c:v>
                </c:pt>
                <c:pt idx="17">
                  <c:v>109</c:v>
                </c:pt>
                <c:pt idx="18">
                  <c:v>47</c:v>
                </c:pt>
                <c:pt idx="19">
                  <c:v>24</c:v>
                </c:pt>
                <c:pt idx="20">
                  <c:v>12</c:v>
                </c:pt>
                <c:pt idx="21">
                  <c:v>0</c:v>
                </c:pt>
                <c:pt idx="22">
                  <c:v>11</c:v>
                </c:pt>
                <c:pt idx="23">
                  <c:v>4</c:v>
                </c:pt>
                <c:pt idx="2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2D-402A-941C-56B1DCCB03BB}"/>
            </c:ext>
          </c:extLst>
        </c:ser>
        <c:ser>
          <c:idx val="4"/>
          <c:order val="4"/>
          <c:tx>
            <c:strRef>
              <c:f>'Historical trend ass. Est_visua'!$F$134</c:f>
              <c:strCache>
                <c:ptCount val="1"/>
                <c:pt idx="0">
                  <c:v>wood chips and waste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cat>
            <c:numRef>
              <c:f>'Historical trend ass. Est_visua'!$A$135:$A$159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Est_visua'!$F$135:$F$159</c:f>
              <c:numCache>
                <c:formatCode>#,##0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283</c:v>
                </c:pt>
                <c:pt idx="10">
                  <c:v>706</c:v>
                </c:pt>
                <c:pt idx="11">
                  <c:v>740</c:v>
                </c:pt>
                <c:pt idx="12">
                  <c:v>953</c:v>
                </c:pt>
                <c:pt idx="13">
                  <c:v>621</c:v>
                </c:pt>
                <c:pt idx="14">
                  <c:v>687</c:v>
                </c:pt>
                <c:pt idx="15">
                  <c:v>710</c:v>
                </c:pt>
                <c:pt idx="16">
                  <c:v>815</c:v>
                </c:pt>
                <c:pt idx="17">
                  <c:v>975</c:v>
                </c:pt>
                <c:pt idx="18">
                  <c:v>1197</c:v>
                </c:pt>
                <c:pt idx="19">
                  <c:v>1247</c:v>
                </c:pt>
                <c:pt idx="20">
                  <c:v>1730</c:v>
                </c:pt>
                <c:pt idx="21">
                  <c:v>1662</c:v>
                </c:pt>
                <c:pt idx="22">
                  <c:v>1513</c:v>
                </c:pt>
                <c:pt idx="23">
                  <c:v>1312</c:v>
                </c:pt>
                <c:pt idx="24">
                  <c:v>1322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C2D-402A-941C-56B1DCCB03BB}"/>
            </c:ext>
          </c:extLst>
        </c:ser>
        <c:ser>
          <c:idx val="5"/>
          <c:order val="5"/>
          <c:tx>
            <c:strRef>
              <c:f>'Historical trend ass. Est_visua'!$G$134</c:f>
              <c:strCache>
                <c:ptCount val="1"/>
                <c:pt idx="0">
                  <c:v>Fuel oil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cat>
            <c:numRef>
              <c:f>'Historical trend ass. Est_visua'!$A$135:$A$159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Est_visua'!$G$135:$G$159</c:f>
              <c:numCache>
                <c:formatCode>General</c:formatCode>
                <c:ptCount val="2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115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C2D-402A-941C-56B1DCCB03BB}"/>
            </c:ext>
          </c:extLst>
        </c:ser>
        <c:ser>
          <c:idx val="6"/>
          <c:order val="6"/>
          <c:tx>
            <c:strRef>
              <c:f>'Historical trend ass. Est_visua'!$H$134</c:f>
              <c:strCache>
                <c:ptCount val="1"/>
                <c:pt idx="0">
                  <c:v>Shale oil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cat>
            <c:numRef>
              <c:f>'Historical trend ass. Est_visua'!$A$135:$A$159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Est_visua'!$H$135:$H$159</c:f>
              <c:numCache>
                <c:formatCode>General</c:formatCode>
                <c:ptCount val="25"/>
                <c:pt idx="0">
                  <c:v>32</c:v>
                </c:pt>
                <c:pt idx="1">
                  <c:v>38</c:v>
                </c:pt>
                <c:pt idx="2">
                  <c:v>25</c:v>
                </c:pt>
                <c:pt idx="3">
                  <c:v>33</c:v>
                </c:pt>
                <c:pt idx="4">
                  <c:v>34</c:v>
                </c:pt>
                <c:pt idx="5">
                  <c:v>28</c:v>
                </c:pt>
                <c:pt idx="6">
                  <c:v>28</c:v>
                </c:pt>
                <c:pt idx="7">
                  <c:v>29</c:v>
                </c:pt>
                <c:pt idx="8">
                  <c:v>37</c:v>
                </c:pt>
                <c:pt idx="9">
                  <c:v>39</c:v>
                </c:pt>
                <c:pt idx="10">
                  <c:v>41</c:v>
                </c:pt>
                <c:pt idx="11">
                  <c:v>42</c:v>
                </c:pt>
                <c:pt idx="12">
                  <c:v>58</c:v>
                </c:pt>
                <c:pt idx="13">
                  <c:v>134</c:v>
                </c:pt>
                <c:pt idx="14">
                  <c:v>43</c:v>
                </c:pt>
                <c:pt idx="15">
                  <c:v>57</c:v>
                </c:pt>
                <c:pt idx="16">
                  <c:v>138</c:v>
                </c:pt>
                <c:pt idx="17">
                  <c:v>117</c:v>
                </c:pt>
                <c:pt idx="18">
                  <c:v>83</c:v>
                </c:pt>
                <c:pt idx="19">
                  <c:v>27</c:v>
                </c:pt>
                <c:pt idx="20">
                  <c:v>22</c:v>
                </c:pt>
                <c:pt idx="21">
                  <c:v>37</c:v>
                </c:pt>
                <c:pt idx="22">
                  <c:v>34</c:v>
                </c:pt>
                <c:pt idx="23">
                  <c:v>18</c:v>
                </c:pt>
                <c:pt idx="24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C2D-402A-941C-56B1DCCB03BB}"/>
            </c:ext>
          </c:extLst>
        </c:ser>
        <c:ser>
          <c:idx val="7"/>
          <c:order val="7"/>
          <c:tx>
            <c:strRef>
              <c:f>'Historical trend ass. Est_visua'!$I$134</c:f>
              <c:strCache>
                <c:ptCount val="1"/>
                <c:pt idx="0">
                  <c:v>Diesel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cat>
            <c:numRef>
              <c:f>'Historical trend ass. Est_visua'!$A$135:$A$159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Est_visua'!$I$135:$I$159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C2D-402A-941C-56B1DCCB03BB}"/>
            </c:ext>
          </c:extLst>
        </c:ser>
        <c:ser>
          <c:idx val="8"/>
          <c:order val="8"/>
          <c:tx>
            <c:strRef>
              <c:f>'Historical trend ass. Est_visua'!$J$134</c:f>
              <c:strCache>
                <c:ptCount val="1"/>
                <c:pt idx="0">
                  <c:v>Natural Gas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cat>
            <c:numRef>
              <c:f>'Historical trend ass. Est_visua'!$A$135:$A$159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Est_visua'!$J$135:$J$159</c:f>
              <c:numCache>
                <c:formatCode>General</c:formatCode>
                <c:ptCount val="25"/>
                <c:pt idx="0">
                  <c:v>560</c:v>
                </c:pt>
                <c:pt idx="1">
                  <c:v>566</c:v>
                </c:pt>
                <c:pt idx="2">
                  <c:v>518</c:v>
                </c:pt>
                <c:pt idx="3">
                  <c:v>505</c:v>
                </c:pt>
                <c:pt idx="4">
                  <c:v>486</c:v>
                </c:pt>
                <c:pt idx="5">
                  <c:v>545</c:v>
                </c:pt>
                <c:pt idx="6">
                  <c:v>541</c:v>
                </c:pt>
                <c:pt idx="7">
                  <c:v>350</c:v>
                </c:pt>
                <c:pt idx="8">
                  <c:v>422</c:v>
                </c:pt>
                <c:pt idx="9">
                  <c:v>107</c:v>
                </c:pt>
                <c:pt idx="10">
                  <c:v>304</c:v>
                </c:pt>
                <c:pt idx="11">
                  <c:v>249</c:v>
                </c:pt>
                <c:pt idx="12">
                  <c:v>123</c:v>
                </c:pt>
                <c:pt idx="13">
                  <c:v>89</c:v>
                </c:pt>
                <c:pt idx="14">
                  <c:v>64</c:v>
                </c:pt>
                <c:pt idx="15">
                  <c:v>62</c:v>
                </c:pt>
                <c:pt idx="16">
                  <c:v>74</c:v>
                </c:pt>
                <c:pt idx="17">
                  <c:v>63</c:v>
                </c:pt>
                <c:pt idx="18">
                  <c:v>57</c:v>
                </c:pt>
                <c:pt idx="19">
                  <c:v>38</c:v>
                </c:pt>
                <c:pt idx="20">
                  <c:v>27</c:v>
                </c:pt>
                <c:pt idx="21">
                  <c:v>21</c:v>
                </c:pt>
                <c:pt idx="22">
                  <c:v>29</c:v>
                </c:pt>
                <c:pt idx="23">
                  <c:v>22</c:v>
                </c:pt>
                <c:pt idx="24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C2D-402A-941C-56B1DCCB03BB}"/>
            </c:ext>
          </c:extLst>
        </c:ser>
        <c:ser>
          <c:idx val="9"/>
          <c:order val="9"/>
          <c:tx>
            <c:strRef>
              <c:f>'Historical trend ass. Est_visua'!$K$134</c:f>
              <c:strCache>
                <c:ptCount val="1"/>
                <c:pt idx="0">
                  <c:v>Biogases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cat>
            <c:numRef>
              <c:f>'Historical trend ass. Est_visua'!$A$135:$A$159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Est_visua'!$K$135:$K$159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21</c:v>
                </c:pt>
                <c:pt idx="14">
                  <c:v>29</c:v>
                </c:pt>
                <c:pt idx="15">
                  <c:v>50</c:v>
                </c:pt>
                <c:pt idx="16">
                  <c:v>45</c:v>
                </c:pt>
                <c:pt idx="17">
                  <c:v>42</c:v>
                </c:pt>
                <c:pt idx="18">
                  <c:v>38</c:v>
                </c:pt>
                <c:pt idx="19">
                  <c:v>39</c:v>
                </c:pt>
                <c:pt idx="20">
                  <c:v>31</c:v>
                </c:pt>
                <c:pt idx="21">
                  <c:v>15</c:v>
                </c:pt>
                <c:pt idx="22">
                  <c:v>5</c:v>
                </c:pt>
                <c:pt idx="23">
                  <c:v>3</c:v>
                </c:pt>
                <c:pt idx="2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C2D-402A-941C-56B1DCCB03BB}"/>
            </c:ext>
          </c:extLst>
        </c:ser>
        <c:ser>
          <c:idx val="10"/>
          <c:order val="10"/>
          <c:tx>
            <c:strRef>
              <c:f>'Historical trend ass. Est_visua'!$L$134</c:f>
              <c:strCache>
                <c:ptCount val="1"/>
                <c:pt idx="0">
                  <c:v>Refuse derived fuel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cat>
            <c:numRef>
              <c:f>'Historical trend ass. Est_visua'!$A$135:$A$159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Est_visua'!$L$135:$L$159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59</c:v>
                </c:pt>
                <c:pt idx="14">
                  <c:v>112</c:v>
                </c:pt>
                <c:pt idx="15">
                  <c:v>128</c:v>
                </c:pt>
                <c:pt idx="16">
                  <c:v>129</c:v>
                </c:pt>
                <c:pt idx="17">
                  <c:v>141</c:v>
                </c:pt>
                <c:pt idx="18">
                  <c:v>142</c:v>
                </c:pt>
                <c:pt idx="19">
                  <c:v>128</c:v>
                </c:pt>
                <c:pt idx="20">
                  <c:v>149</c:v>
                </c:pt>
                <c:pt idx="21">
                  <c:v>151</c:v>
                </c:pt>
                <c:pt idx="22">
                  <c:v>136</c:v>
                </c:pt>
                <c:pt idx="23">
                  <c:v>136</c:v>
                </c:pt>
                <c:pt idx="24">
                  <c:v>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C2D-402A-941C-56B1DCCB03BB}"/>
            </c:ext>
          </c:extLst>
        </c:ser>
        <c:ser>
          <c:idx val="11"/>
          <c:order val="11"/>
          <c:tx>
            <c:strRef>
              <c:f>'Historical trend ass. Est_visua'!$M$134</c:f>
              <c:strCache>
                <c:ptCount val="1"/>
                <c:pt idx="0">
                  <c:v>Other renewable sources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cat>
            <c:numRef>
              <c:f>'Historical trend ass. Est_visua'!$A$135:$A$159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Est_visua'!$M$135:$M$159</c:f>
              <c:numCache>
                <c:formatCode>General</c:formatCode>
                <c:ptCount val="25"/>
                <c:pt idx="0">
                  <c:v>55</c:v>
                </c:pt>
                <c:pt idx="1">
                  <c:v>22</c:v>
                </c:pt>
                <c:pt idx="2">
                  <c:v>27</c:v>
                </c:pt>
                <c:pt idx="3">
                  <c:v>26</c:v>
                </c:pt>
                <c:pt idx="4">
                  <c:v>31</c:v>
                </c:pt>
                <c:pt idx="5">
                  <c:v>33</c:v>
                </c:pt>
                <c:pt idx="6">
                  <c:v>38</c:v>
                </c:pt>
                <c:pt idx="7">
                  <c:v>36</c:v>
                </c:pt>
                <c:pt idx="8">
                  <c:v>38</c:v>
                </c:pt>
                <c:pt idx="9">
                  <c:v>31</c:v>
                </c:pt>
                <c:pt idx="10">
                  <c:v>36</c:v>
                </c:pt>
                <c:pt idx="11">
                  <c:v>43</c:v>
                </c:pt>
                <c:pt idx="12">
                  <c:v>48</c:v>
                </c:pt>
                <c:pt idx="13">
                  <c:v>25</c:v>
                </c:pt>
                <c:pt idx="14">
                  <c:v>24</c:v>
                </c:pt>
                <c:pt idx="15">
                  <c:v>19</c:v>
                </c:pt>
                <c:pt idx="16">
                  <c:v>25</c:v>
                </c:pt>
                <c:pt idx="17">
                  <c:v>21</c:v>
                </c:pt>
                <c:pt idx="18">
                  <c:v>26</c:v>
                </c:pt>
                <c:pt idx="19">
                  <c:v>13</c:v>
                </c:pt>
                <c:pt idx="20">
                  <c:v>16</c:v>
                </c:pt>
                <c:pt idx="21">
                  <c:v>6</c:v>
                </c:pt>
                <c:pt idx="22">
                  <c:v>10</c:v>
                </c:pt>
                <c:pt idx="23">
                  <c:v>2</c:v>
                </c:pt>
                <c:pt idx="24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C2D-402A-941C-56B1DCCB03BB}"/>
            </c:ext>
          </c:extLst>
        </c:ser>
        <c:ser>
          <c:idx val="12"/>
          <c:order val="12"/>
          <c:tx>
            <c:strRef>
              <c:f>'Historical trend ass. Est_visua'!$N$134</c:f>
              <c:strCache>
                <c:ptCount val="1"/>
                <c:pt idx="0">
                  <c:v>Shale oil gas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cat>
            <c:numRef>
              <c:f>'Historical trend ass. Est_visua'!$A$135:$A$159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Est_visua'!$N$135:$N$159</c:f>
              <c:numCache>
                <c:formatCode>#,##0</c:formatCode>
                <c:ptCount val="25"/>
                <c:pt idx="0">
                  <c:v>117</c:v>
                </c:pt>
                <c:pt idx="1">
                  <c:v>189</c:v>
                </c:pt>
                <c:pt idx="2">
                  <c:v>196</c:v>
                </c:pt>
                <c:pt idx="3">
                  <c:v>195</c:v>
                </c:pt>
                <c:pt idx="4">
                  <c:v>195</c:v>
                </c:pt>
                <c:pt idx="5">
                  <c:v>217</c:v>
                </c:pt>
                <c:pt idx="6">
                  <c:v>243</c:v>
                </c:pt>
                <c:pt idx="7">
                  <c:v>235</c:v>
                </c:pt>
                <c:pt idx="8">
                  <c:v>277</c:v>
                </c:pt>
                <c:pt idx="9">
                  <c:v>356</c:v>
                </c:pt>
                <c:pt idx="10">
                  <c:v>407</c:v>
                </c:pt>
                <c:pt idx="11">
                  <c:v>435</c:v>
                </c:pt>
                <c:pt idx="12">
                  <c:v>511</c:v>
                </c:pt>
                <c:pt idx="13">
                  <c:v>299</c:v>
                </c:pt>
                <c:pt idx="14">
                  <c:v>534</c:v>
                </c:pt>
                <c:pt idx="15">
                  <c:v>712</c:v>
                </c:pt>
                <c:pt idx="16">
                  <c:v>517</c:v>
                </c:pt>
                <c:pt idx="17">
                  <c:v>997</c:v>
                </c:pt>
                <c:pt idx="18">
                  <c:v>711</c:v>
                </c:pt>
                <c:pt idx="19">
                  <c:v>1043</c:v>
                </c:pt>
                <c:pt idx="20">
                  <c:v>748</c:v>
                </c:pt>
                <c:pt idx="21">
                  <c:v>667</c:v>
                </c:pt>
                <c:pt idx="22">
                  <c:v>807</c:v>
                </c:pt>
                <c:pt idx="23">
                  <c:v>818</c:v>
                </c:pt>
                <c:pt idx="24">
                  <c:v>880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C2D-402A-941C-56B1DCCB03BB}"/>
            </c:ext>
          </c:extLst>
        </c:ser>
        <c:ser>
          <c:idx val="13"/>
          <c:order val="13"/>
          <c:tx>
            <c:strRef>
              <c:f>'Historical trend ass. Est_visua'!$O$134</c:f>
              <c:strCache>
                <c:ptCount val="1"/>
                <c:pt idx="0">
                  <c:v>Hydro energy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cat>
            <c:numRef>
              <c:f>'Historical trend ass. Est_visua'!$A$135:$A$159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Est_visua'!$O$135:$O$159</c:f>
              <c:numCache>
                <c:formatCode>#,##0.0</c:formatCode>
                <c:ptCount val="25"/>
                <c:pt idx="0">
                  <c:v>5</c:v>
                </c:pt>
                <c:pt idx="1">
                  <c:v>7.4</c:v>
                </c:pt>
                <c:pt idx="2">
                  <c:v>5.6</c:v>
                </c:pt>
                <c:pt idx="3">
                  <c:v>12.8</c:v>
                </c:pt>
                <c:pt idx="4">
                  <c:v>22.4</c:v>
                </c:pt>
                <c:pt idx="5">
                  <c:v>21.5</c:v>
                </c:pt>
                <c:pt idx="6">
                  <c:v>13.5</c:v>
                </c:pt>
                <c:pt idx="7">
                  <c:v>22</c:v>
                </c:pt>
                <c:pt idx="8">
                  <c:v>28</c:v>
                </c:pt>
                <c:pt idx="9">
                  <c:v>32</c:v>
                </c:pt>
                <c:pt idx="10">
                  <c:v>27</c:v>
                </c:pt>
                <c:pt idx="11">
                  <c:v>30</c:v>
                </c:pt>
                <c:pt idx="12">
                  <c:v>42</c:v>
                </c:pt>
                <c:pt idx="13">
                  <c:v>26</c:v>
                </c:pt>
                <c:pt idx="14">
                  <c:v>27</c:v>
                </c:pt>
                <c:pt idx="15">
                  <c:v>27</c:v>
                </c:pt>
                <c:pt idx="16">
                  <c:v>35</c:v>
                </c:pt>
                <c:pt idx="17">
                  <c:v>26</c:v>
                </c:pt>
                <c:pt idx="18">
                  <c:v>15</c:v>
                </c:pt>
                <c:pt idx="19">
                  <c:v>19</c:v>
                </c:pt>
                <c:pt idx="20">
                  <c:v>30</c:v>
                </c:pt>
                <c:pt idx="21">
                  <c:v>21</c:v>
                </c:pt>
                <c:pt idx="22">
                  <c:v>23</c:v>
                </c:pt>
                <c:pt idx="23">
                  <c:v>24</c:v>
                </c:pt>
                <c:pt idx="24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C2D-402A-941C-56B1DCCB03BB}"/>
            </c:ext>
          </c:extLst>
        </c:ser>
        <c:ser>
          <c:idx val="14"/>
          <c:order val="14"/>
          <c:tx>
            <c:strRef>
              <c:f>'Historical trend ass. Est_visua'!$P$134</c:f>
              <c:strCache>
                <c:ptCount val="1"/>
                <c:pt idx="0">
                  <c:v>Wind energy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cat>
            <c:numRef>
              <c:f>'Historical trend ass. Est_visua'!$A$135:$A$159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Est_visua'!$P$135:$P$159</c:f>
              <c:numCache>
                <c:formatCode>#,##0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1.4</c:v>
                </c:pt>
                <c:pt idx="3">
                  <c:v>6.1</c:v>
                </c:pt>
                <c:pt idx="4">
                  <c:v>7.6</c:v>
                </c:pt>
                <c:pt idx="5">
                  <c:v>53.9</c:v>
                </c:pt>
                <c:pt idx="6">
                  <c:v>76.3</c:v>
                </c:pt>
                <c:pt idx="7">
                  <c:v>91</c:v>
                </c:pt>
                <c:pt idx="8">
                  <c:v>133</c:v>
                </c:pt>
                <c:pt idx="9">
                  <c:v>195</c:v>
                </c:pt>
                <c:pt idx="10">
                  <c:v>277</c:v>
                </c:pt>
                <c:pt idx="11">
                  <c:v>368</c:v>
                </c:pt>
                <c:pt idx="12">
                  <c:v>434</c:v>
                </c:pt>
                <c:pt idx="13">
                  <c:v>529</c:v>
                </c:pt>
                <c:pt idx="14">
                  <c:v>604</c:v>
                </c:pt>
                <c:pt idx="15">
                  <c:v>715</c:v>
                </c:pt>
                <c:pt idx="16">
                  <c:v>594</c:v>
                </c:pt>
                <c:pt idx="17">
                  <c:v>723</c:v>
                </c:pt>
                <c:pt idx="18">
                  <c:v>636</c:v>
                </c:pt>
                <c:pt idx="19">
                  <c:v>687</c:v>
                </c:pt>
                <c:pt idx="20">
                  <c:v>844</c:v>
                </c:pt>
                <c:pt idx="21">
                  <c:v>731</c:v>
                </c:pt>
                <c:pt idx="22">
                  <c:v>668</c:v>
                </c:pt>
                <c:pt idx="23">
                  <c:v>683</c:v>
                </c:pt>
                <c:pt idx="24">
                  <c:v>1164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C2D-402A-941C-56B1DCCB03BB}"/>
            </c:ext>
          </c:extLst>
        </c:ser>
        <c:ser>
          <c:idx val="15"/>
          <c:order val="15"/>
          <c:tx>
            <c:strRef>
              <c:f>'Historical trend ass. Est_visua'!$Q$134</c:f>
              <c:strCache>
                <c:ptCount val="1"/>
                <c:pt idx="0">
                  <c:v>Solar energy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cat>
            <c:numRef>
              <c:f>'Historical trend ass. Est_visua'!$A$135:$A$159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Est_visua'!$Q$135:$Q$159</c:f>
              <c:numCache>
                <c:formatCode>#,##0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9.6999999999999993</c:v>
                </c:pt>
                <c:pt idx="17">
                  <c:v>14.5</c:v>
                </c:pt>
                <c:pt idx="18">
                  <c:v>30.8</c:v>
                </c:pt>
                <c:pt idx="19">
                  <c:v>73.5</c:v>
                </c:pt>
                <c:pt idx="20">
                  <c:v>245</c:v>
                </c:pt>
                <c:pt idx="21">
                  <c:v>354</c:v>
                </c:pt>
                <c:pt idx="22">
                  <c:v>596</c:v>
                </c:pt>
                <c:pt idx="23">
                  <c:v>721</c:v>
                </c:pt>
                <c:pt idx="24">
                  <c:v>1020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C2D-402A-941C-56B1DCCB03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0368336"/>
        <c:axId val="370370736"/>
      </c:areaChart>
      <c:lineChart>
        <c:grouping val="standard"/>
        <c:varyColors val="0"/>
        <c:ser>
          <c:idx val="16"/>
          <c:order val="16"/>
          <c:tx>
            <c:strRef>
              <c:f>'Historical trend ass. Est_visua'!$R$134</c:f>
              <c:strCache>
                <c:ptCount val="1"/>
                <c:pt idx="0">
                  <c:v>Electricity import 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'Historical trend ass. Est_visua'!$A$135:$A$159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Est_visua'!$R$135:$R$159</c:f>
              <c:numCache>
                <c:formatCode>#,##0</c:formatCode>
                <c:ptCount val="25"/>
                <c:pt idx="0">
                  <c:v>496</c:v>
                </c:pt>
                <c:pt idx="1">
                  <c:v>412</c:v>
                </c:pt>
                <c:pt idx="2">
                  <c:v>93</c:v>
                </c:pt>
                <c:pt idx="3">
                  <c:v>347</c:v>
                </c:pt>
                <c:pt idx="4">
                  <c:v>345</c:v>
                </c:pt>
                <c:pt idx="5">
                  <c:v>346</c:v>
                </c:pt>
                <c:pt idx="6">
                  <c:v>283</c:v>
                </c:pt>
                <c:pt idx="7">
                  <c:v>397</c:v>
                </c:pt>
                <c:pt idx="8">
                  <c:v>1360</c:v>
                </c:pt>
                <c:pt idx="9">
                  <c:v>3023</c:v>
                </c:pt>
                <c:pt idx="10">
                  <c:v>1099</c:v>
                </c:pt>
                <c:pt idx="11">
                  <c:v>1690</c:v>
                </c:pt>
                <c:pt idx="12">
                  <c:v>2710</c:v>
                </c:pt>
                <c:pt idx="13">
                  <c:v>2712</c:v>
                </c:pt>
                <c:pt idx="14">
                  <c:v>3827</c:v>
                </c:pt>
                <c:pt idx="15">
                  <c:v>5453</c:v>
                </c:pt>
                <c:pt idx="16">
                  <c:v>3573</c:v>
                </c:pt>
                <c:pt idx="17">
                  <c:v>2281</c:v>
                </c:pt>
                <c:pt idx="18">
                  <c:v>3053</c:v>
                </c:pt>
                <c:pt idx="19">
                  <c:v>4862</c:v>
                </c:pt>
                <c:pt idx="20">
                  <c:v>7367</c:v>
                </c:pt>
                <c:pt idx="21">
                  <c:v>7333</c:v>
                </c:pt>
                <c:pt idx="22">
                  <c:v>7186</c:v>
                </c:pt>
                <c:pt idx="23">
                  <c:v>7660</c:v>
                </c:pt>
                <c:pt idx="24">
                  <c:v>5478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9C2D-402A-941C-56B1DCCB03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0368336"/>
        <c:axId val="370370736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'Historical trend ass. Est_visua'!$B$134</c15:sqref>
                        </c15:formulaRef>
                      </c:ext>
                    </c:extLst>
                    <c:strCache>
                      <c:ptCount val="1"/>
                      <c:pt idx="0">
                        <c:v>Total 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'Historical trend ass. Est_visua'!$A$135:$A$159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2020</c:v>
                      </c:pt>
                      <c:pt idx="21">
                        <c:v>2021</c:v>
                      </c:pt>
                      <c:pt idx="22">
                        <c:v>2022</c:v>
                      </c:pt>
                      <c:pt idx="23">
                        <c:v>2023</c:v>
                      </c:pt>
                      <c:pt idx="24">
                        <c:v>2024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'Historical trend ass. Est_visua'!$B$135:$B$159</c15:sqref>
                        </c15:formulaRef>
                      </c:ext>
                    </c:extLst>
                    <c:numCache>
                      <c:formatCode>0</c:formatCode>
                      <c:ptCount val="25"/>
                      <c:pt idx="0">
                        <c:v>8510</c:v>
                      </c:pt>
                      <c:pt idx="1">
                        <c:v>8481</c:v>
                      </c:pt>
                      <c:pt idx="2">
                        <c:v>8524</c:v>
                      </c:pt>
                      <c:pt idx="3">
                        <c:v>10158</c:v>
                      </c:pt>
                      <c:pt idx="4">
                        <c:v>10302</c:v>
                      </c:pt>
                      <c:pt idx="5">
                        <c:v>10201</c:v>
                      </c:pt>
                      <c:pt idx="6">
                        <c:v>9729</c:v>
                      </c:pt>
                      <c:pt idx="7">
                        <c:v>12188</c:v>
                      </c:pt>
                      <c:pt idx="8">
                        <c:v>10579</c:v>
                      </c:pt>
                      <c:pt idx="9">
                        <c:v>8777</c:v>
                      </c:pt>
                      <c:pt idx="10">
                        <c:v>12962</c:v>
                      </c:pt>
                      <c:pt idx="11">
                        <c:v>12892</c:v>
                      </c:pt>
                      <c:pt idx="12">
                        <c:v>11966</c:v>
                      </c:pt>
                      <c:pt idx="13">
                        <c:v>13274</c:v>
                      </c:pt>
                      <c:pt idx="14">
                        <c:v>12430</c:v>
                      </c:pt>
                      <c:pt idx="15">
                        <c:v>10417</c:v>
                      </c:pt>
                      <c:pt idx="16">
                        <c:v>12170</c:v>
                      </c:pt>
                      <c:pt idx="17">
                        <c:v>13160</c:v>
                      </c:pt>
                      <c:pt idx="18">
                        <c:v>12364</c:v>
                      </c:pt>
                      <c:pt idx="19">
                        <c:v>7615</c:v>
                      </c:pt>
                      <c:pt idx="20">
                        <c:v>5956.5</c:v>
                      </c:pt>
                      <c:pt idx="21">
                        <c:v>7082</c:v>
                      </c:pt>
                      <c:pt idx="22">
                        <c:v>8910</c:v>
                      </c:pt>
                      <c:pt idx="23">
                        <c:v>5714</c:v>
                      </c:pt>
                      <c:pt idx="24">
                        <c:v>6110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F-9C2D-402A-941C-56B1DCCB03BB}"/>
                  </c:ext>
                </c:extLst>
              </c15:ser>
            </c15:filteredLineSeries>
          </c:ext>
        </c:extLst>
      </c:lineChart>
      <c:catAx>
        <c:axId val="370368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0370736"/>
        <c:crosses val="autoZero"/>
        <c:auto val="1"/>
        <c:lblAlgn val="ctr"/>
        <c:lblOffset val="100"/>
        <c:noMultiLvlLbl val="0"/>
      </c:catAx>
      <c:valAx>
        <c:axId val="370370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0368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3823438814977317E-2"/>
          <c:y val="0.74111818214504011"/>
          <c:w val="0.89315171810755634"/>
          <c:h val="0.22916830708661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'Historical trend ass. Est_visua'!$E$162</c:f>
              <c:strCache>
                <c:ptCount val="1"/>
                <c:pt idx="0">
                  <c:v>Share of fossil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'Historical trend ass. Est_visua'!$A$163:$A$187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Est_visua'!$E$163:$E$187</c:f>
              <c:numCache>
                <c:formatCode>0.0%</c:formatCode>
                <c:ptCount val="25"/>
                <c:pt idx="0">
                  <c:v>0.99294864261370319</c:v>
                </c:pt>
                <c:pt idx="1">
                  <c:v>0.99653318239705679</c:v>
                </c:pt>
                <c:pt idx="2">
                  <c:v>0.99601126231816051</c:v>
                </c:pt>
                <c:pt idx="3">
                  <c:v>0.99557979503637561</c:v>
                </c:pt>
                <c:pt idx="4">
                  <c:v>0.99407824483059892</c:v>
                </c:pt>
                <c:pt idx="5">
                  <c:v>0.98937400748916815</c:v>
                </c:pt>
                <c:pt idx="6">
                  <c:v>0.98686374475783245</c:v>
                </c:pt>
                <c:pt idx="7">
                  <c:v>0.9877748605185428</c:v>
                </c:pt>
                <c:pt idx="8">
                  <c:v>0.98118914831269499</c:v>
                </c:pt>
                <c:pt idx="9">
                  <c:v>0.93835460346399269</c:v>
                </c:pt>
                <c:pt idx="10">
                  <c:v>0.91930880197485154</c:v>
                </c:pt>
                <c:pt idx="11">
                  <c:v>0.90839280173751169</c:v>
                </c:pt>
                <c:pt idx="12">
                  <c:v>0.87656693966237675</c:v>
                </c:pt>
                <c:pt idx="13">
                  <c:v>0.90349555522073222</c:v>
                </c:pt>
                <c:pt idx="14">
                  <c:v>0.88068227532383936</c:v>
                </c:pt>
                <c:pt idx="15">
                  <c:v>0.84170106556590185</c:v>
                </c:pt>
                <c:pt idx="16">
                  <c:v>0.86419550194335104</c:v>
                </c:pt>
                <c:pt idx="17">
                  <c:v>0.85238800866294318</c:v>
                </c:pt>
                <c:pt idx="18">
                  <c:v>0.83136506293072776</c:v>
                </c:pt>
                <c:pt idx="19">
                  <c:v>0.71094517586952255</c:v>
                </c:pt>
                <c:pt idx="20">
                  <c:v>0.49909524592860666</c:v>
                </c:pt>
                <c:pt idx="21">
                  <c:v>0.58486303304151366</c:v>
                </c:pt>
                <c:pt idx="22">
                  <c:v>0.66879910213243543</c:v>
                </c:pt>
                <c:pt idx="23">
                  <c:v>0.49579978998949947</c:v>
                </c:pt>
                <c:pt idx="24">
                  <c:v>0.3983633387888707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18-4173-8BA5-238F607F3AC8}"/>
            </c:ext>
          </c:extLst>
        </c:ser>
        <c:ser>
          <c:idx val="1"/>
          <c:order val="1"/>
          <c:tx>
            <c:strRef>
              <c:f>'Historical trend ass. Est_visua'!$F$162</c:f>
              <c:strCache>
                <c:ptCount val="1"/>
                <c:pt idx="0">
                  <c:v>Share of renewable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'Historical trend ass. Est_visua'!$A$163:$A$187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Est_visua'!$F$163:$F$187</c:f>
              <c:numCache>
                <c:formatCode>0.0%</c:formatCode>
                <c:ptCount val="25"/>
                <c:pt idx="0">
                  <c:v>7.051357386296862E-3</c:v>
                </c:pt>
                <c:pt idx="1">
                  <c:v>3.4668176029432575E-3</c:v>
                </c:pt>
                <c:pt idx="2">
                  <c:v>3.9887376818395119E-3</c:v>
                </c:pt>
                <c:pt idx="3">
                  <c:v>4.4202049636243709E-3</c:v>
                </c:pt>
                <c:pt idx="4">
                  <c:v>5.9217551694010287E-3</c:v>
                </c:pt>
                <c:pt idx="5">
                  <c:v>1.0625992510831848E-2</c:v>
                </c:pt>
                <c:pt idx="6">
                  <c:v>1.3136255242167586E-2</c:v>
                </c:pt>
                <c:pt idx="7">
                  <c:v>1.222513948145717E-2</c:v>
                </c:pt>
                <c:pt idx="8">
                  <c:v>1.8810851687305039E-2</c:v>
                </c:pt>
                <c:pt idx="9">
                  <c:v>6.1645396536007292E-2</c:v>
                </c:pt>
                <c:pt idx="10">
                  <c:v>8.06911980251485E-2</c:v>
                </c:pt>
                <c:pt idx="11">
                  <c:v>9.1607198262488365E-2</c:v>
                </c:pt>
                <c:pt idx="12">
                  <c:v>0.12343306033762326</c:v>
                </c:pt>
                <c:pt idx="13">
                  <c:v>9.6504444779267742E-2</c:v>
                </c:pt>
                <c:pt idx="14">
                  <c:v>0.11931772467616059</c:v>
                </c:pt>
                <c:pt idx="15">
                  <c:v>0.15829893443409812</c:v>
                </c:pt>
                <c:pt idx="16">
                  <c:v>0.13580449805664888</c:v>
                </c:pt>
                <c:pt idx="17">
                  <c:v>0.14761199133705688</c:v>
                </c:pt>
                <c:pt idx="18">
                  <c:v>0.16863493706927235</c:v>
                </c:pt>
                <c:pt idx="19">
                  <c:v>0.28905482413047751</c:v>
                </c:pt>
                <c:pt idx="20">
                  <c:v>0.50090475407139334</c:v>
                </c:pt>
                <c:pt idx="21">
                  <c:v>0.41513696695848629</c:v>
                </c:pt>
                <c:pt idx="22">
                  <c:v>0.33120089786756451</c:v>
                </c:pt>
                <c:pt idx="23">
                  <c:v>0.50420021001050053</c:v>
                </c:pt>
                <c:pt idx="24">
                  <c:v>0.60163666121112924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918-4173-8BA5-238F607F3A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733280"/>
        <c:axId val="328734720"/>
      </c:lineChart>
      <c:catAx>
        <c:axId val="328733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8734720"/>
        <c:crosses val="autoZero"/>
        <c:auto val="1"/>
        <c:lblAlgn val="ctr"/>
        <c:lblOffset val="100"/>
        <c:noMultiLvlLbl val="0"/>
      </c:catAx>
      <c:valAx>
        <c:axId val="32873472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8733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'Historical trend ass. Est_visua'!$A$220</c:f>
              <c:strCache>
                <c:ptCount val="1"/>
                <c:pt idx="0">
                  <c:v>Total consumption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'Historical trend ass. Est_visua'!$B$219:$Y$219</c:f>
              <c:numCache>
                <c:formatCode>General</c:formatCod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numCache>
            </c:numRef>
          </c:cat>
          <c:val>
            <c:numRef>
              <c:f>'Historical trend ass. Est_visua'!$B$220:$Y$220</c:f>
              <c:numCache>
                <c:formatCode>#,##0</c:formatCode>
                <c:ptCount val="24"/>
                <c:pt idx="0">
                  <c:v>6747</c:v>
                </c:pt>
                <c:pt idx="1">
                  <c:v>7485</c:v>
                </c:pt>
                <c:pt idx="2">
                  <c:v>6803</c:v>
                </c:pt>
                <c:pt idx="3">
                  <c:v>7730</c:v>
                </c:pt>
                <c:pt idx="4">
                  <c:v>7937</c:v>
                </c:pt>
                <c:pt idx="5">
                  <c:v>8268</c:v>
                </c:pt>
                <c:pt idx="6">
                  <c:v>7968</c:v>
                </c:pt>
                <c:pt idx="7">
                  <c:v>8790</c:v>
                </c:pt>
                <c:pt idx="8">
                  <c:v>8518</c:v>
                </c:pt>
                <c:pt idx="9">
                  <c:v>6167</c:v>
                </c:pt>
                <c:pt idx="10">
                  <c:v>6723</c:v>
                </c:pt>
                <c:pt idx="11">
                  <c:v>6822</c:v>
                </c:pt>
                <c:pt idx="12">
                  <c:v>6570</c:v>
                </c:pt>
                <c:pt idx="13">
                  <c:v>7446</c:v>
                </c:pt>
                <c:pt idx="14">
                  <c:v>6470</c:v>
                </c:pt>
                <c:pt idx="15" formatCode="0">
                  <c:v>6222.4350000000004</c:v>
                </c:pt>
                <c:pt idx="16" formatCode="0">
                  <c:v>5323.7160000000003</c:v>
                </c:pt>
                <c:pt idx="17" formatCode="0">
                  <c:v>5383.8329999999996</c:v>
                </c:pt>
                <c:pt idx="18" formatCode="0">
                  <c:v>5651.2610000000004</c:v>
                </c:pt>
                <c:pt idx="19" formatCode="0">
                  <c:v>5341.7430000000004</c:v>
                </c:pt>
                <c:pt idx="20" formatCode="0">
                  <c:v>4745.473</c:v>
                </c:pt>
                <c:pt idx="21" formatCode="0">
                  <c:v>4461.085</c:v>
                </c:pt>
                <c:pt idx="22" formatCode="0">
                  <c:v>4168.1869999999999</c:v>
                </c:pt>
                <c:pt idx="23" formatCode="0">
                  <c:v>3921.2379999999998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7F-4B78-9BE3-47BBD5E922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06232736"/>
        <c:axId val="2106231296"/>
      </c:barChart>
      <c:lineChart>
        <c:grouping val="standard"/>
        <c:varyColors val="0"/>
        <c:ser>
          <c:idx val="1"/>
          <c:order val="1"/>
          <c:tx>
            <c:strRef>
              <c:f>'Historical trend ass. Est_visua'!$A$221</c:f>
              <c:strCache>
                <c:ptCount val="1"/>
                <c:pt idx="0">
                  <c:v>Electricity share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'Historical trend ass. Est_visua'!$B$219:$Y$219</c:f>
              <c:numCache>
                <c:formatCode>General</c:formatCod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numCache>
            </c:numRef>
          </c:cat>
          <c:val>
            <c:numRef>
              <c:f>'Historical trend ass. Est_visua'!$B$221:$Y$221</c:f>
              <c:numCache>
                <c:formatCode>0%</c:formatCode>
                <c:ptCount val="24"/>
                <c:pt idx="0">
                  <c:v>0.27167630057803466</c:v>
                </c:pt>
                <c:pt idx="1">
                  <c:v>0.2426185704742819</c:v>
                </c:pt>
                <c:pt idx="2">
                  <c:v>0.27693664559753051</c:v>
                </c:pt>
                <c:pt idx="3">
                  <c:v>0.2627425614489004</c:v>
                </c:pt>
                <c:pt idx="4">
                  <c:v>0.27012725211036914</c:v>
                </c:pt>
                <c:pt idx="5">
                  <c:v>0.26221577164973392</c:v>
                </c:pt>
                <c:pt idx="6">
                  <c:v>0.29354919678714858</c:v>
                </c:pt>
                <c:pt idx="7">
                  <c:v>0.27212741751990899</c:v>
                </c:pt>
                <c:pt idx="8">
                  <c:v>0.27412538154496363</c:v>
                </c:pt>
                <c:pt idx="9">
                  <c:v>0.31473974379763259</c:v>
                </c:pt>
                <c:pt idx="10">
                  <c:v>0.31161683772125537</c:v>
                </c:pt>
                <c:pt idx="11">
                  <c:v>0.29991204925241866</c:v>
                </c:pt>
                <c:pt idx="12">
                  <c:v>0.33287671232876714</c:v>
                </c:pt>
                <c:pt idx="13">
                  <c:v>0.28955143701316144</c:v>
                </c:pt>
                <c:pt idx="14">
                  <c:v>0.32720247295208699</c:v>
                </c:pt>
                <c:pt idx="15">
                  <c:v>0.33089939870806201</c:v>
                </c:pt>
                <c:pt idx="16">
                  <c:v>0.40422892581046771</c:v>
                </c:pt>
                <c:pt idx="17">
                  <c:v>0.42367584581468259</c:v>
                </c:pt>
                <c:pt idx="18">
                  <c:v>0.41760591131784569</c:v>
                </c:pt>
                <c:pt idx="19">
                  <c:v>0.39910942926307008</c:v>
                </c:pt>
                <c:pt idx="20">
                  <c:v>0.44864231658256193</c:v>
                </c:pt>
                <c:pt idx="21">
                  <c:v>0.49531672227720386</c:v>
                </c:pt>
                <c:pt idx="22">
                  <c:v>0.50107156900590111</c:v>
                </c:pt>
                <c:pt idx="23">
                  <c:v>0.45478468789703663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7F-4B78-9BE3-47BBD5E922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6229856"/>
        <c:axId val="2106228416"/>
      </c:lineChart>
      <c:catAx>
        <c:axId val="2106232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06231296"/>
        <c:crosses val="autoZero"/>
        <c:auto val="1"/>
        <c:lblAlgn val="ctr"/>
        <c:lblOffset val="100"/>
        <c:noMultiLvlLbl val="0"/>
      </c:catAx>
      <c:valAx>
        <c:axId val="2106231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06232736"/>
        <c:crosses val="autoZero"/>
        <c:crossBetween val="between"/>
      </c:valAx>
      <c:valAx>
        <c:axId val="2106228416"/>
        <c:scaling>
          <c:orientation val="minMax"/>
        </c:scaling>
        <c:delete val="0"/>
        <c:axPos val="r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06229856"/>
        <c:crosses val="max"/>
        <c:crossBetween val="between"/>
      </c:valAx>
      <c:catAx>
        <c:axId val="210622985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1062284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'Historical trend ass. Est_visua'!$A$230</c:f>
              <c:strCache>
                <c:ptCount val="1"/>
                <c:pt idx="0">
                  <c:v>Total consumption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'Historical trend ass. Est_visua'!$B$229:$Y$229</c:f>
              <c:numCache>
                <c:formatCode>General</c:formatCod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numCache>
            </c:numRef>
          </c:cat>
          <c:val>
            <c:numRef>
              <c:f>'Historical trend ass. Est_visua'!$B$230:$Y$230</c:f>
              <c:numCache>
                <c:formatCode>#,##0</c:formatCode>
                <c:ptCount val="24"/>
                <c:pt idx="0">
                  <c:v>14133</c:v>
                </c:pt>
                <c:pt idx="1">
                  <c:v>14462</c:v>
                </c:pt>
                <c:pt idx="2">
                  <c:v>14135</c:v>
                </c:pt>
                <c:pt idx="3">
                  <c:v>14689</c:v>
                </c:pt>
                <c:pt idx="4">
                  <c:v>15152</c:v>
                </c:pt>
                <c:pt idx="5">
                  <c:v>14866</c:v>
                </c:pt>
                <c:pt idx="6">
                  <c:v>14869</c:v>
                </c:pt>
                <c:pt idx="7">
                  <c:v>15950</c:v>
                </c:pt>
                <c:pt idx="8">
                  <c:v>16111</c:v>
                </c:pt>
                <c:pt idx="9">
                  <c:v>16153</c:v>
                </c:pt>
                <c:pt idx="10">
                  <c:v>16879</c:v>
                </c:pt>
                <c:pt idx="11">
                  <c:v>15558</c:v>
                </c:pt>
                <c:pt idx="12">
                  <c:v>16220</c:v>
                </c:pt>
                <c:pt idx="13">
                  <c:v>15720</c:v>
                </c:pt>
                <c:pt idx="14">
                  <c:v>15653</c:v>
                </c:pt>
                <c:pt idx="15">
                  <c:v>15387</c:v>
                </c:pt>
                <c:pt idx="16">
                  <c:v>16619</c:v>
                </c:pt>
                <c:pt idx="17">
                  <c:v>16415</c:v>
                </c:pt>
                <c:pt idx="18">
                  <c:v>16649</c:v>
                </c:pt>
                <c:pt idx="19">
                  <c:v>16441</c:v>
                </c:pt>
                <c:pt idx="20">
                  <c:v>16423</c:v>
                </c:pt>
                <c:pt idx="21">
                  <c:v>17179</c:v>
                </c:pt>
                <c:pt idx="22">
                  <c:v>16514</c:v>
                </c:pt>
                <c:pt idx="23">
                  <c:v>15085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D5-4584-A8FC-B4A65D7C7C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2316016"/>
        <c:axId val="522313616"/>
      </c:barChart>
      <c:lineChart>
        <c:grouping val="standard"/>
        <c:varyColors val="0"/>
        <c:ser>
          <c:idx val="1"/>
          <c:order val="1"/>
          <c:tx>
            <c:strRef>
              <c:f>'Historical trend ass. Est_visua'!$A$231</c:f>
              <c:strCache>
                <c:ptCount val="1"/>
                <c:pt idx="0">
                  <c:v>Electricity share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'Historical trend ass. Est_visua'!$B$229:$Y$229</c:f>
              <c:numCache>
                <c:formatCode>General</c:formatCod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numCache>
            </c:numRef>
          </c:cat>
          <c:val>
            <c:numRef>
              <c:f>'Historical trend ass. Est_visua'!$B$231:$Y$231</c:f>
              <c:numCache>
                <c:formatCode>0%</c:formatCode>
                <c:ptCount val="24"/>
                <c:pt idx="0">
                  <c:v>0.20285855798485813</c:v>
                </c:pt>
                <c:pt idx="1">
                  <c:v>0.21186557875812473</c:v>
                </c:pt>
                <c:pt idx="2">
                  <c:v>0.22313406437920055</c:v>
                </c:pt>
                <c:pt idx="3">
                  <c:v>0.22179862482129484</c:v>
                </c:pt>
                <c:pt idx="4">
                  <c:v>0.22888067581837382</c:v>
                </c:pt>
                <c:pt idx="5">
                  <c:v>0.23873267859545272</c:v>
                </c:pt>
                <c:pt idx="6">
                  <c:v>0.25899522496469163</c:v>
                </c:pt>
                <c:pt idx="7">
                  <c:v>0.25899686520376175</c:v>
                </c:pt>
                <c:pt idx="8">
                  <c:v>0.27298119297374462</c:v>
                </c:pt>
                <c:pt idx="9">
                  <c:v>0.27505726490435212</c:v>
                </c:pt>
                <c:pt idx="10">
                  <c:v>0.26861780911191419</c:v>
                </c:pt>
                <c:pt idx="11">
                  <c:v>0.27715644684406737</c:v>
                </c:pt>
                <c:pt idx="12">
                  <c:v>0.27694204685573365</c:v>
                </c:pt>
                <c:pt idx="13">
                  <c:v>0.27958015267175573</c:v>
                </c:pt>
                <c:pt idx="14">
                  <c:v>0.28965693477288701</c:v>
                </c:pt>
                <c:pt idx="15">
                  <c:v>0.29511925651524012</c:v>
                </c:pt>
                <c:pt idx="16">
                  <c:v>0.29388049822492329</c:v>
                </c:pt>
                <c:pt idx="17">
                  <c:v>0.28358208955223879</c:v>
                </c:pt>
                <c:pt idx="18">
                  <c:v>0.28788515826776384</c:v>
                </c:pt>
                <c:pt idx="19">
                  <c:v>0.30357034243659142</c:v>
                </c:pt>
                <c:pt idx="20">
                  <c:v>0.29495220118127019</c:v>
                </c:pt>
                <c:pt idx="21">
                  <c:v>0.31928517375865884</c:v>
                </c:pt>
                <c:pt idx="22">
                  <c:v>0.29508295991280126</c:v>
                </c:pt>
                <c:pt idx="23" formatCode="0.00%">
                  <c:v>0.26602585349685115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D5-4584-A8FC-B4A65D7C7C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1988608"/>
        <c:axId val="522312176"/>
      </c:lineChart>
      <c:catAx>
        <c:axId val="522316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313616"/>
        <c:crosses val="autoZero"/>
        <c:auto val="1"/>
        <c:lblAlgn val="ctr"/>
        <c:lblOffset val="100"/>
        <c:noMultiLvlLbl val="0"/>
      </c:catAx>
      <c:valAx>
        <c:axId val="522313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316016"/>
        <c:crosses val="autoZero"/>
        <c:crossBetween val="between"/>
      </c:valAx>
      <c:valAx>
        <c:axId val="522312176"/>
        <c:scaling>
          <c:orientation val="minMax"/>
        </c:scaling>
        <c:delete val="0"/>
        <c:axPos val="r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1988608"/>
        <c:crosses val="max"/>
        <c:crossBetween val="between"/>
      </c:valAx>
      <c:catAx>
        <c:axId val="53198860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5223121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'Historical trend ass. Est_visua'!$B$190</c:f>
              <c:strCache>
                <c:ptCount val="1"/>
                <c:pt idx="0">
                  <c:v>Electricity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'Historical trend ass. Est_visua'!$A$191:$A$215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Est_visua'!$B$191:$B$215</c:f>
              <c:numCache>
                <c:formatCode>0</c:formatCode>
                <c:ptCount val="25"/>
                <c:pt idx="0">
                  <c:v>5015.0401199999997</c:v>
                </c:pt>
                <c:pt idx="1">
                  <c:v>5168.0968999999996</c:v>
                </c:pt>
                <c:pt idx="2">
                  <c:v>5335.0426799999996</c:v>
                </c:pt>
                <c:pt idx="3">
                  <c:v>5596.1558800000003</c:v>
                </c:pt>
                <c:pt idx="4">
                  <c:v>5913.10286</c:v>
                </c:pt>
                <c:pt idx="5">
                  <c:v>6040.0483199999999</c:v>
                </c:pt>
                <c:pt idx="6">
                  <c:v>6490.0519199999999</c:v>
                </c:pt>
                <c:pt idx="7">
                  <c:v>6795.0543600000001</c:v>
                </c:pt>
                <c:pt idx="8">
                  <c:v>7003.9449199999999</c:v>
                </c:pt>
                <c:pt idx="9">
                  <c:v>6650.0532000000003</c:v>
                </c:pt>
                <c:pt idx="10">
                  <c:v>6908.1108199999999</c:v>
                </c:pt>
                <c:pt idx="11">
                  <c:v>6626.9974599999996</c:v>
                </c:pt>
                <c:pt idx="12">
                  <c:v>6978.1113800000003</c:v>
                </c:pt>
                <c:pt idx="13">
                  <c:v>6820.0545599999996</c:v>
                </c:pt>
                <c:pt idx="14">
                  <c:v>6906.1663600000002</c:v>
                </c:pt>
                <c:pt idx="15">
                  <c:v>6851.9992599999996</c:v>
                </c:pt>
                <c:pt idx="16">
                  <c:v>7298.9472800000003</c:v>
                </c:pt>
                <c:pt idx="17">
                  <c:v>7232.5578599999999</c:v>
                </c:pt>
                <c:pt idx="18">
                  <c:v>7491.1710400000002</c:v>
                </c:pt>
                <c:pt idx="19">
                  <c:v>7317.0029800000002</c:v>
                </c:pt>
                <c:pt idx="20">
                  <c:v>7180.0574399999996</c:v>
                </c:pt>
                <c:pt idx="21">
                  <c:v>7883.67418</c:v>
                </c:pt>
                <c:pt idx="22">
                  <c:v>7141.7237999999998</c:v>
                </c:pt>
                <c:pt idx="23">
                  <c:v>6001.71468</c:v>
                </c:pt>
                <c:pt idx="24">
                  <c:v>6620.05296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43-481F-B880-5A6EBF02B3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14665200"/>
        <c:axId val="814662320"/>
      </c:barChart>
      <c:lineChart>
        <c:grouping val="standard"/>
        <c:varyColors val="0"/>
        <c:ser>
          <c:idx val="1"/>
          <c:order val="1"/>
          <c:tx>
            <c:strRef>
              <c:f>'Historical trend ass. Est_visua'!$C$190</c:f>
              <c:strCache>
                <c:ptCount val="1"/>
                <c:pt idx="0">
                  <c:v>Proportion of total final energy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'Historical trend ass. Est_visua'!$A$191:$A$215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Est_visua'!$C$191:$C$215</c:f>
              <c:numCache>
                <c:formatCode>0%</c:formatCode>
                <c:ptCount val="25"/>
                <c:pt idx="0">
                  <c:v>0.17909470572480085</c:v>
                </c:pt>
                <c:pt idx="1">
                  <c:v>0.16792274019585721</c:v>
                </c:pt>
                <c:pt idx="2">
                  <c:v>0.17626004919055835</c:v>
                </c:pt>
                <c:pt idx="3">
                  <c:v>0.17749466969745029</c:v>
                </c:pt>
                <c:pt idx="4">
                  <c:v>0.18350545680246894</c:v>
                </c:pt>
                <c:pt idx="5">
                  <c:v>0.18488223790494007</c:v>
                </c:pt>
                <c:pt idx="6">
                  <c:v>0.19722780300855969</c:v>
                </c:pt>
                <c:pt idx="7">
                  <c:v>0.19323495955510617</c:v>
                </c:pt>
                <c:pt idx="8">
                  <c:v>0.20061104657638879</c:v>
                </c:pt>
                <c:pt idx="9">
                  <c:v>0.20986929193221762</c:v>
                </c:pt>
                <c:pt idx="10">
                  <c:v>0.20635434299180189</c:v>
                </c:pt>
                <c:pt idx="11">
                  <c:v>0.20484617432145832</c:v>
                </c:pt>
                <c:pt idx="12">
                  <c:v>0.21222438117766326</c:v>
                </c:pt>
                <c:pt idx="13">
                  <c:v>0.20645812310797174</c:v>
                </c:pt>
                <c:pt idx="14">
                  <c:v>0.21403973966045667</c:v>
                </c:pt>
                <c:pt idx="15">
                  <c:v>0.21421623968736428</c:v>
                </c:pt>
                <c:pt idx="16">
                  <c:v>0.2245543268326867</c:v>
                </c:pt>
                <c:pt idx="17">
                  <c:v>0.22098401840048207</c:v>
                </c:pt>
                <c:pt idx="18">
                  <c:v>0.22300688833943885</c:v>
                </c:pt>
                <c:pt idx="19">
                  <c:v>0.22263261097400186</c:v>
                </c:pt>
                <c:pt idx="20">
                  <c:v>0.22647063977430038</c:v>
                </c:pt>
                <c:pt idx="21">
                  <c:v>0.24291314320928484</c:v>
                </c:pt>
                <c:pt idx="22">
                  <c:v>0.22570054076831236</c:v>
                </c:pt>
                <c:pt idx="23">
                  <c:v>0.20116194625998549</c:v>
                </c:pt>
                <c:pt idx="24">
                  <c:v>0.18654747833710361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443-481F-B880-5A6EBF02B3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4666160"/>
        <c:axId val="814654640"/>
      </c:lineChart>
      <c:catAx>
        <c:axId val="814665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4662320"/>
        <c:crosses val="autoZero"/>
        <c:auto val="1"/>
        <c:lblAlgn val="ctr"/>
        <c:lblOffset val="100"/>
        <c:noMultiLvlLbl val="0"/>
      </c:catAx>
      <c:valAx>
        <c:axId val="814662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4665200"/>
        <c:crosses val="autoZero"/>
        <c:crossBetween val="between"/>
      </c:valAx>
      <c:valAx>
        <c:axId val="814654640"/>
        <c:scaling>
          <c:orientation val="minMax"/>
        </c:scaling>
        <c:delete val="0"/>
        <c:axPos val="r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4666160"/>
        <c:crosses val="max"/>
        <c:crossBetween val="between"/>
      </c:valAx>
      <c:catAx>
        <c:axId val="81466616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146546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'Historical trend ass. Est_visua'!$B$262</c:f>
              <c:strCache>
                <c:ptCount val="1"/>
                <c:pt idx="0">
                  <c:v>MWh/Per capita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'Historical trend ass. Est_visua'!$A$263:$A$287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Est_visua'!$B$263:$B$287</c:f>
              <c:numCache>
                <c:formatCode>0.0</c:formatCode>
                <c:ptCount val="25"/>
                <c:pt idx="0">
                  <c:v>3.5789759999999999</c:v>
                </c:pt>
                <c:pt idx="1">
                  <c:v>3.7107939140674362</c:v>
                </c:pt>
                <c:pt idx="2">
                  <c:v>3.856164884966498</c:v>
                </c:pt>
                <c:pt idx="3">
                  <c:v>4.0693692362509903</c:v>
                </c:pt>
                <c:pt idx="4">
                  <c:v>4.3279801354071363</c:v>
                </c:pt>
                <c:pt idx="5">
                  <c:v>4.4449706148581525</c:v>
                </c:pt>
                <c:pt idx="6">
                  <c:v>4.8049544088250533</c:v>
                </c:pt>
                <c:pt idx="7">
                  <c:v>5.0599100169779287</c:v>
                </c:pt>
                <c:pt idx="8">
                  <c:v>5.2329166193478978</c:v>
                </c:pt>
                <c:pt idx="9">
                  <c:v>4.9785536107326278</c:v>
                </c:pt>
                <c:pt idx="10">
                  <c:v>5.1812515056739343</c:v>
                </c:pt>
                <c:pt idx="11">
                  <c:v>4.9839789570266086</c:v>
                </c:pt>
                <c:pt idx="12">
                  <c:v>5.2656367825042993</c:v>
                </c:pt>
                <c:pt idx="13">
                  <c:v>5.1660270237105106</c:v>
                </c:pt>
                <c:pt idx="14">
                  <c:v>5.2485686557193656</c:v>
                </c:pt>
                <c:pt idx="15">
                  <c:v>5.2175059526936938</c:v>
                </c:pt>
                <c:pt idx="16">
                  <c:v>5.5465485461387418</c:v>
                </c:pt>
                <c:pt idx="17">
                  <c:v>5.4973893671116993</c:v>
                </c:pt>
                <c:pt idx="18">
                  <c:v>5.6788595539646121</c:v>
                </c:pt>
                <c:pt idx="19">
                  <c:v>5.5230166966078418</c:v>
                </c:pt>
                <c:pt idx="20">
                  <c:v>5.4030528057648155</c:v>
                </c:pt>
                <c:pt idx="21">
                  <c:v>5.9272715229597281</c:v>
                </c:pt>
                <c:pt idx="22">
                  <c:v>5.3624757845796198</c:v>
                </c:pt>
                <c:pt idx="23">
                  <c:v>4.3940149236684816</c:v>
                </c:pt>
                <c:pt idx="24">
                  <c:v>4.8156801948370793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B6-4B4B-819F-878C1C3C3C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747071"/>
        <c:axId val="333742751"/>
      </c:lineChart>
      <c:catAx>
        <c:axId val="3337470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3742751"/>
        <c:crosses val="autoZero"/>
        <c:auto val="1"/>
        <c:lblAlgn val="ctr"/>
        <c:lblOffset val="100"/>
        <c:noMultiLvlLbl val="0"/>
      </c:catAx>
      <c:valAx>
        <c:axId val="3337427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MWh/Per capita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37470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'Historical trend ass. Est_visua'!$B$234</c:f>
              <c:strCache>
                <c:ptCount val="1"/>
                <c:pt idx="0">
                  <c:v>Coal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'Historical trend ass. Est_visua'!$A$235:$A$259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Est_visua'!$B$235:$B$259</c:f>
              <c:numCache>
                <c:formatCode>0</c:formatCode>
                <c:ptCount val="25"/>
                <c:pt idx="0">
                  <c:v>743.06150000000002</c:v>
                </c:pt>
                <c:pt idx="1">
                  <c:v>1004.73026</c:v>
                </c:pt>
                <c:pt idx="2">
                  <c:v>541.11544000000004</c:v>
                </c:pt>
                <c:pt idx="3">
                  <c:v>454.72586000000001</c:v>
                </c:pt>
                <c:pt idx="4">
                  <c:v>548.05993999999998</c:v>
                </c:pt>
                <c:pt idx="5">
                  <c:v>496.39285999999998</c:v>
                </c:pt>
                <c:pt idx="6">
                  <c:v>577.78240000000005</c:v>
                </c:pt>
                <c:pt idx="7">
                  <c:v>1043.34168</c:v>
                </c:pt>
                <c:pt idx="8">
                  <c:v>1104.7310600000001</c:v>
                </c:pt>
                <c:pt idx="9">
                  <c:v>685.83882000000006</c:v>
                </c:pt>
                <c:pt idx="10">
                  <c:v>481.94830000000002</c:v>
                </c:pt>
                <c:pt idx="11">
                  <c:v>585.83802000000003</c:v>
                </c:pt>
                <c:pt idx="12">
                  <c:v>533.89315999999997</c:v>
                </c:pt>
                <c:pt idx="13">
                  <c:v>516.94857999999999</c:v>
                </c:pt>
                <c:pt idx="14">
                  <c:v>608.61598000000004</c:v>
                </c:pt>
                <c:pt idx="15">
                  <c:v>234.16854000000001</c:v>
                </c:pt>
                <c:pt idx="16">
                  <c:v>223.33511999999999</c:v>
                </c:pt>
                <c:pt idx="17">
                  <c:v>245.00196</c:v>
                </c:pt>
                <c:pt idx="18">
                  <c:v>305.55799999999999</c:v>
                </c:pt>
                <c:pt idx="19">
                  <c:v>348.89168000000001</c:v>
                </c:pt>
                <c:pt idx="20">
                  <c:v>85.000680000000003</c:v>
                </c:pt>
                <c:pt idx="21">
                  <c:v>24.16686</c:v>
                </c:pt>
                <c:pt idx="22">
                  <c:v>41.111440000000002</c:v>
                </c:pt>
                <c:pt idx="23">
                  <c:v>64.167180000000002</c:v>
                </c:pt>
                <c:pt idx="24">
                  <c:v>15.833460000000001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5E-434A-A1C3-53CBC7B1A2A3}"/>
            </c:ext>
          </c:extLst>
        </c:ser>
        <c:ser>
          <c:idx val="1"/>
          <c:order val="1"/>
          <c:tx>
            <c:strRef>
              <c:f>'Historical trend ass. Est_visua'!$C$234</c:f>
              <c:strCache>
                <c:ptCount val="1"/>
                <c:pt idx="0">
                  <c:v>Oil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'Historical trend ass. Est_visua'!$A$235:$A$259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Est_visua'!$C$235:$C$259</c:f>
              <c:numCache>
                <c:formatCode>0</c:formatCode>
                <c:ptCount val="25"/>
                <c:pt idx="0">
                  <c:v>9293.1298999999999</c:v>
                </c:pt>
                <c:pt idx="1">
                  <c:v>11199.53404</c:v>
                </c:pt>
                <c:pt idx="2">
                  <c:v>11163.700420000001</c:v>
                </c:pt>
                <c:pt idx="3">
                  <c:v>10971.47666</c:v>
                </c:pt>
                <c:pt idx="4">
                  <c:v>10985.64344</c:v>
                </c:pt>
                <c:pt idx="5">
                  <c:v>11501.203119999998</c:v>
                </c:pt>
                <c:pt idx="6">
                  <c:v>11675.926740000001</c:v>
                </c:pt>
                <c:pt idx="7">
                  <c:v>12376.765679999999</c:v>
                </c:pt>
                <c:pt idx="8">
                  <c:v>11933.4288</c:v>
                </c:pt>
                <c:pt idx="9">
                  <c:v>10427.02786</c:v>
                </c:pt>
                <c:pt idx="10">
                  <c:v>11004.81026</c:v>
                </c:pt>
                <c:pt idx="11">
                  <c:v>11410.92462</c:v>
                </c:pt>
                <c:pt idx="12">
                  <c:v>11513.147659999999</c:v>
                </c:pt>
                <c:pt idx="13">
                  <c:v>11138.700219999999</c:v>
                </c:pt>
                <c:pt idx="14">
                  <c:v>11237.03434</c:v>
                </c:pt>
                <c:pt idx="15">
                  <c:v>11401.757879999999</c:v>
                </c:pt>
                <c:pt idx="16">
                  <c:v>11487.86968</c:v>
                </c:pt>
                <c:pt idx="17">
                  <c:v>11715.371500000001</c:v>
                </c:pt>
                <c:pt idx="18">
                  <c:v>11778.14978</c:v>
                </c:pt>
                <c:pt idx="19">
                  <c:v>11609.8151</c:v>
                </c:pt>
                <c:pt idx="20">
                  <c:v>10575.917939999999</c:v>
                </c:pt>
                <c:pt idx="21">
                  <c:v>10358.4162</c:v>
                </c:pt>
                <c:pt idx="22">
                  <c:v>10980.921179999999</c:v>
                </c:pt>
                <c:pt idx="23">
                  <c:v>10958.976559999999</c:v>
                </c:pt>
                <c:pt idx="24">
                  <c:v>12828.15818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5E-434A-A1C3-53CBC7B1A2A3}"/>
            </c:ext>
          </c:extLst>
        </c:ser>
        <c:ser>
          <c:idx val="2"/>
          <c:order val="2"/>
          <c:tx>
            <c:strRef>
              <c:f>'Historical trend ass. Est_visua'!$D$234</c:f>
              <c:strCache>
                <c:ptCount val="1"/>
                <c:pt idx="0">
                  <c:v>Gas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'Historical trend ass. Est_visua'!$A$235:$A$259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Est_visua'!$D$235:$D$259</c:f>
              <c:numCache>
                <c:formatCode>0</c:formatCode>
                <c:ptCount val="25"/>
                <c:pt idx="0">
                  <c:v>2061.4053800000002</c:v>
                </c:pt>
                <c:pt idx="1">
                  <c:v>2496.40886</c:v>
                </c:pt>
                <c:pt idx="2">
                  <c:v>2113.3502400000002</c:v>
                </c:pt>
                <c:pt idx="3">
                  <c:v>3217.52574</c:v>
                </c:pt>
                <c:pt idx="4">
                  <c:v>3076.4135000000001</c:v>
                </c:pt>
                <c:pt idx="5">
                  <c:v>3061.6911599999999</c:v>
                </c:pt>
                <c:pt idx="6">
                  <c:v>3180.85878</c:v>
                </c:pt>
                <c:pt idx="7">
                  <c:v>3183.0810200000001</c:v>
                </c:pt>
                <c:pt idx="8">
                  <c:v>2708.9105599999998</c:v>
                </c:pt>
                <c:pt idx="9">
                  <c:v>2140.5726800000002</c:v>
                </c:pt>
                <c:pt idx="10">
                  <c:v>2408.3526000000002</c:v>
                </c:pt>
                <c:pt idx="11">
                  <c:v>2366.6855999999998</c:v>
                </c:pt>
                <c:pt idx="12">
                  <c:v>2536.9647399999999</c:v>
                </c:pt>
                <c:pt idx="13">
                  <c:v>2908.0788200000002</c:v>
                </c:pt>
                <c:pt idx="14">
                  <c:v>2603.3541599999999</c:v>
                </c:pt>
                <c:pt idx="15">
                  <c:v>2586.6873599999999</c:v>
                </c:pt>
                <c:pt idx="16">
                  <c:v>2935.85682</c:v>
                </c:pt>
                <c:pt idx="17">
                  <c:v>2741.4108200000001</c:v>
                </c:pt>
                <c:pt idx="18">
                  <c:v>2925.8567400000002</c:v>
                </c:pt>
                <c:pt idx="19">
                  <c:v>2836.6893599999999</c:v>
                </c:pt>
                <c:pt idx="20">
                  <c:v>2850.57836</c:v>
                </c:pt>
                <c:pt idx="21">
                  <c:v>3008.6351800000002</c:v>
                </c:pt>
                <c:pt idx="22">
                  <c:v>2073.9054799999999</c:v>
                </c:pt>
                <c:pt idx="23">
                  <c:v>1878.6261400000001</c:v>
                </c:pt>
                <c:pt idx="24">
                  <c:v>2091.40562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5E-434A-A1C3-53CBC7B1A2A3}"/>
            </c:ext>
          </c:extLst>
        </c:ser>
        <c:ser>
          <c:idx val="3"/>
          <c:order val="3"/>
          <c:tx>
            <c:strRef>
              <c:f>'Historical trend ass. Est_visua'!$E$234</c:f>
              <c:strCache>
                <c:ptCount val="1"/>
                <c:pt idx="0">
                  <c:v>Other renewables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'Historical trend ass. Est_visua'!$A$235:$A$259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Est_visua'!$E$235:$E$259</c:f>
              <c:numCache>
                <c:formatCode>0</c:formatCode>
                <c:ptCount val="25"/>
                <c:pt idx="0">
                  <c:v>4941.1506399999998</c:v>
                </c:pt>
                <c:pt idx="1">
                  <c:v>5070.0405600000004</c:v>
                </c:pt>
                <c:pt idx="2">
                  <c:v>5135.3188600000003</c:v>
                </c:pt>
                <c:pt idx="3">
                  <c:v>5593.9336400000002</c:v>
                </c:pt>
                <c:pt idx="4">
                  <c:v>5633.6561799999999</c:v>
                </c:pt>
                <c:pt idx="5">
                  <c:v>5203.9305199999999</c:v>
                </c:pt>
                <c:pt idx="6">
                  <c:v>4716.7043999999996</c:v>
                </c:pt>
                <c:pt idx="7">
                  <c:v>5715.8790600000002</c:v>
                </c:pt>
                <c:pt idx="8">
                  <c:v>6241.16104</c:v>
                </c:pt>
                <c:pt idx="9">
                  <c:v>6037.27052</c:v>
                </c:pt>
                <c:pt idx="10">
                  <c:v>6491.9963799999996</c:v>
                </c:pt>
                <c:pt idx="11">
                  <c:v>5838.9355999999998</c:v>
                </c:pt>
                <c:pt idx="12">
                  <c:v>5613.1004599999997</c:v>
                </c:pt>
                <c:pt idx="13">
                  <c:v>6229.7720600000002</c:v>
                </c:pt>
                <c:pt idx="14">
                  <c:v>5805.6019999999999</c:v>
                </c:pt>
                <c:pt idx="15">
                  <c:v>5903.65834</c:v>
                </c:pt>
                <c:pt idx="16">
                  <c:v>5064.4849600000007</c:v>
                </c:pt>
                <c:pt idx="17">
                  <c:v>5260.0420799999993</c:v>
                </c:pt>
                <c:pt idx="18">
                  <c:v>5489.4883599999994</c:v>
                </c:pt>
                <c:pt idx="19">
                  <c:v>5351.7094799999995</c:v>
                </c:pt>
                <c:pt idx="20">
                  <c:v>5648.6562999999996</c:v>
                </c:pt>
                <c:pt idx="21">
                  <c:v>5606.7115199999998</c:v>
                </c:pt>
                <c:pt idx="22">
                  <c:v>5589.7669400000004</c:v>
                </c:pt>
                <c:pt idx="23">
                  <c:v>5294.4868000000006</c:v>
                </c:pt>
                <c:pt idx="24">
                  <c:v>7148.9460799999997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D5E-434A-A1C3-53CBC7B1A2A3}"/>
            </c:ext>
          </c:extLst>
        </c:ser>
        <c:ser>
          <c:idx val="4"/>
          <c:order val="4"/>
          <c:tx>
            <c:strRef>
              <c:f>'Historical trend ass. Est_visua'!$F$234</c:f>
              <c:strCache>
                <c:ptCount val="1"/>
                <c:pt idx="0">
                  <c:v>Heat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'Historical trend ass. Est_visua'!$A$235:$A$259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Est_visua'!$F$235:$F$259</c:f>
              <c:numCache>
                <c:formatCode>0</c:formatCode>
                <c:ptCount val="25"/>
                <c:pt idx="0">
                  <c:v>5948.3809199999996</c:v>
                </c:pt>
                <c:pt idx="1">
                  <c:v>5837.8244800000002</c:v>
                </c:pt>
                <c:pt idx="2">
                  <c:v>5979.4922800000004</c:v>
                </c:pt>
                <c:pt idx="3">
                  <c:v>5694.7677800000001</c:v>
                </c:pt>
                <c:pt idx="4">
                  <c:v>6066.1596399999999</c:v>
                </c:pt>
                <c:pt idx="5">
                  <c:v>6366.4398199999996</c:v>
                </c:pt>
                <c:pt idx="6">
                  <c:v>6265.0501199999999</c:v>
                </c:pt>
                <c:pt idx="7">
                  <c:v>6050.6039600000004</c:v>
                </c:pt>
                <c:pt idx="8">
                  <c:v>5920.8806999999997</c:v>
                </c:pt>
                <c:pt idx="9">
                  <c:v>5745.8792999999996</c:v>
                </c:pt>
                <c:pt idx="10">
                  <c:v>6181.71612</c:v>
                </c:pt>
                <c:pt idx="11">
                  <c:v>5521.7108399999997</c:v>
                </c:pt>
                <c:pt idx="12">
                  <c:v>5705.6012000000001</c:v>
                </c:pt>
                <c:pt idx="13">
                  <c:v>5420.0433599999997</c:v>
                </c:pt>
                <c:pt idx="14">
                  <c:v>5105.0408399999997</c:v>
                </c:pt>
                <c:pt idx="15">
                  <c:v>5008.0956200000001</c:v>
                </c:pt>
                <c:pt idx="16">
                  <c:v>5493.65506</c:v>
                </c:pt>
                <c:pt idx="17">
                  <c:v>5534.4887200000003</c:v>
                </c:pt>
                <c:pt idx="18">
                  <c:v>5601.4336999999996</c:v>
                </c:pt>
                <c:pt idx="19">
                  <c:v>5401.7098800000003</c:v>
                </c:pt>
                <c:pt idx="20">
                  <c:v>5363.9318000000003</c:v>
                </c:pt>
                <c:pt idx="21">
                  <c:v>5573.1001399999996</c:v>
                </c:pt>
                <c:pt idx="22">
                  <c:v>5815.0465199999999</c:v>
                </c:pt>
                <c:pt idx="23">
                  <c:v>5637.2673199999999</c:v>
                </c:pt>
                <c:pt idx="24">
                  <c:v>6782.8320400000002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D5E-434A-A1C3-53CBC7B1A2A3}"/>
            </c:ext>
          </c:extLst>
        </c:ser>
        <c:ser>
          <c:idx val="5"/>
          <c:order val="5"/>
          <c:tx>
            <c:strRef>
              <c:f>'Historical trend ass. Est_visua'!$G$234</c:f>
              <c:strCache>
                <c:ptCount val="1"/>
                <c:pt idx="0">
                  <c:v>Electricity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'Historical trend ass. Est_visua'!$A$235:$A$259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Est_visua'!$G$235:$G$259</c:f>
              <c:numCache>
                <c:formatCode>0</c:formatCode>
                <c:ptCount val="25"/>
                <c:pt idx="0">
                  <c:v>5015.0401199999997</c:v>
                </c:pt>
                <c:pt idx="1">
                  <c:v>5168.0968999999996</c:v>
                </c:pt>
                <c:pt idx="2">
                  <c:v>5335.0426799999996</c:v>
                </c:pt>
                <c:pt idx="3">
                  <c:v>5596.1558800000003</c:v>
                </c:pt>
                <c:pt idx="4">
                  <c:v>5913.10286</c:v>
                </c:pt>
                <c:pt idx="5">
                  <c:v>6040.0483199999999</c:v>
                </c:pt>
                <c:pt idx="6">
                  <c:v>6490.0519199999999</c:v>
                </c:pt>
                <c:pt idx="7">
                  <c:v>6795.0543600000001</c:v>
                </c:pt>
                <c:pt idx="8">
                  <c:v>7003.9449199999999</c:v>
                </c:pt>
                <c:pt idx="9">
                  <c:v>6650.0532000000003</c:v>
                </c:pt>
                <c:pt idx="10">
                  <c:v>6908.1108199999999</c:v>
                </c:pt>
                <c:pt idx="11">
                  <c:v>6626.9974599999996</c:v>
                </c:pt>
                <c:pt idx="12">
                  <c:v>6978.1113800000003</c:v>
                </c:pt>
                <c:pt idx="13">
                  <c:v>6820.0545599999996</c:v>
                </c:pt>
                <c:pt idx="14">
                  <c:v>6906.1663600000002</c:v>
                </c:pt>
                <c:pt idx="15">
                  <c:v>6851.9992599999996</c:v>
                </c:pt>
                <c:pt idx="16">
                  <c:v>7298.9472800000003</c:v>
                </c:pt>
                <c:pt idx="17">
                  <c:v>7232.5578599999999</c:v>
                </c:pt>
                <c:pt idx="18">
                  <c:v>7491.1710400000002</c:v>
                </c:pt>
                <c:pt idx="19">
                  <c:v>7317.0029800000002</c:v>
                </c:pt>
                <c:pt idx="20">
                  <c:v>7180.0574399999996</c:v>
                </c:pt>
                <c:pt idx="21">
                  <c:v>7883.67418</c:v>
                </c:pt>
                <c:pt idx="22">
                  <c:v>7141.7237999999998</c:v>
                </c:pt>
                <c:pt idx="23">
                  <c:v>6001.71468</c:v>
                </c:pt>
                <c:pt idx="24">
                  <c:v>6620.05296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D5E-434A-A1C3-53CBC7B1A2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09192431"/>
        <c:axId val="409187631"/>
      </c:barChart>
      <c:lineChart>
        <c:grouping val="standard"/>
        <c:varyColors val="0"/>
        <c:ser>
          <c:idx val="6"/>
          <c:order val="6"/>
          <c:tx>
            <c:strRef>
              <c:f>'Historical trend ass. Est_visua'!$H$234</c:f>
              <c:strCache>
                <c:ptCount val="1"/>
                <c:pt idx="0">
                  <c:v>Proportion of electricity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'Historical trend ass. Est_visua'!$A$235:$A$259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Est_visua'!$H$235:$H$259</c:f>
              <c:numCache>
                <c:formatCode>0%</c:formatCode>
                <c:ptCount val="25"/>
                <c:pt idx="0">
                  <c:v>0.17909470572480085</c:v>
                </c:pt>
                <c:pt idx="1">
                  <c:v>0.16792274019585721</c:v>
                </c:pt>
                <c:pt idx="2">
                  <c:v>0.17626004919055835</c:v>
                </c:pt>
                <c:pt idx="3">
                  <c:v>0.17749466969745029</c:v>
                </c:pt>
                <c:pt idx="4">
                  <c:v>0.18350545680246894</c:v>
                </c:pt>
                <c:pt idx="5">
                  <c:v>0.18488223790494007</c:v>
                </c:pt>
                <c:pt idx="6">
                  <c:v>0.19722780300855969</c:v>
                </c:pt>
                <c:pt idx="7">
                  <c:v>0.19323495955510617</c:v>
                </c:pt>
                <c:pt idx="8">
                  <c:v>0.20061104657638879</c:v>
                </c:pt>
                <c:pt idx="9">
                  <c:v>0.20986929193221762</c:v>
                </c:pt>
                <c:pt idx="10">
                  <c:v>0.20635434299180189</c:v>
                </c:pt>
                <c:pt idx="11">
                  <c:v>0.20484617432145832</c:v>
                </c:pt>
                <c:pt idx="12">
                  <c:v>0.21222438117766326</c:v>
                </c:pt>
                <c:pt idx="13">
                  <c:v>0.20645812310797174</c:v>
                </c:pt>
                <c:pt idx="14">
                  <c:v>0.21403973966045667</c:v>
                </c:pt>
                <c:pt idx="15">
                  <c:v>0.21421623968736428</c:v>
                </c:pt>
                <c:pt idx="16">
                  <c:v>0.22455432683268667</c:v>
                </c:pt>
                <c:pt idx="17">
                  <c:v>0.22098401840048207</c:v>
                </c:pt>
                <c:pt idx="18">
                  <c:v>0.22300688833943885</c:v>
                </c:pt>
                <c:pt idx="19">
                  <c:v>0.22263261097400183</c:v>
                </c:pt>
                <c:pt idx="20">
                  <c:v>0.22647063977430038</c:v>
                </c:pt>
                <c:pt idx="21">
                  <c:v>0.24291314320928484</c:v>
                </c:pt>
                <c:pt idx="22">
                  <c:v>0.22570054076831236</c:v>
                </c:pt>
                <c:pt idx="23">
                  <c:v>0.20116194625998549</c:v>
                </c:pt>
                <c:pt idx="24">
                  <c:v>0.18654747833710361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D5E-434A-A1C3-53CBC7B1A2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2548031"/>
        <c:axId val="662546111"/>
      </c:lineChart>
      <c:catAx>
        <c:axId val="4091924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9187631"/>
        <c:crosses val="autoZero"/>
        <c:auto val="1"/>
        <c:lblAlgn val="ctr"/>
        <c:lblOffset val="100"/>
        <c:noMultiLvlLbl val="0"/>
      </c:catAx>
      <c:valAx>
        <c:axId val="409187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9192431"/>
        <c:crosses val="autoZero"/>
        <c:crossBetween val="between"/>
      </c:valAx>
      <c:valAx>
        <c:axId val="662546111"/>
        <c:scaling>
          <c:orientation val="minMax"/>
          <c:max val="1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2548031"/>
        <c:crosses val="max"/>
        <c:crossBetween val="between"/>
      </c:valAx>
      <c:catAx>
        <c:axId val="66254803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254611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Local Heating 2022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7D6-432F-9D5A-83F8E10AC58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7D6-432F-9D5A-83F8E10AC58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7D6-432F-9D5A-83F8E10AC58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7D6-432F-9D5A-83F8E10AC58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7D6-432F-9D5A-83F8E10AC585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7D6-432F-9D5A-83F8E10AC585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C7D6-432F-9D5A-83F8E10AC585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C7D6-432F-9D5A-83F8E10AC585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C7D6-432F-9D5A-83F8E10AC585}"/>
              </c:ext>
            </c:extLst>
          </c:dPt>
          <c:cat>
            <c:strRef>
              <c:f>'Historical trend ass. Est_visua'!$B$393:$J$393</c:f>
              <c:strCache>
                <c:ptCount val="9"/>
                <c:pt idx="0">
                  <c:v>Biomass </c:v>
                </c:pt>
                <c:pt idx="1">
                  <c:v>Biogas </c:v>
                </c:pt>
                <c:pt idx="2">
                  <c:v>Natural Gas </c:v>
                </c:pt>
                <c:pt idx="3">
                  <c:v>Oil </c:v>
                </c:pt>
                <c:pt idx="4">
                  <c:v>Electricity (A/A H.P) </c:v>
                </c:pt>
                <c:pt idx="5">
                  <c:v>Electricity (A/W H.P) </c:v>
                </c:pt>
                <c:pt idx="6">
                  <c:v>Electricity (GS H.P) </c:v>
                </c:pt>
                <c:pt idx="7">
                  <c:v>Electricity (Electrical boiler) </c:v>
                </c:pt>
                <c:pt idx="8">
                  <c:v>Hydrogen (FC M.CHP) </c:v>
                </c:pt>
              </c:strCache>
            </c:strRef>
          </c:cat>
          <c:val>
            <c:numRef>
              <c:f>'Historical trend ass. Est_visua'!$B$394:$J$394</c:f>
              <c:numCache>
                <c:formatCode>General</c:formatCode>
                <c:ptCount val="9"/>
                <c:pt idx="0" formatCode="#,##0">
                  <c:v>6145</c:v>
                </c:pt>
                <c:pt idx="1">
                  <c:v>0</c:v>
                </c:pt>
                <c:pt idx="2">
                  <c:v>555</c:v>
                </c:pt>
                <c:pt idx="3">
                  <c:v>273</c:v>
                </c:pt>
                <c:pt idx="4">
                  <c:v>30</c:v>
                </c:pt>
                <c:pt idx="5">
                  <c:v>11</c:v>
                </c:pt>
                <c:pt idx="6">
                  <c:v>53</c:v>
                </c:pt>
                <c:pt idx="7">
                  <c:v>540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7D6-432F-9D5A-83F8E10AC5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District Heating 2022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842-453C-905C-A376C0B41B3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842-453C-905C-A376C0B41B3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842-453C-905C-A376C0B41B3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842-453C-905C-A376C0B41B3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842-453C-905C-A376C0B41B35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F842-453C-905C-A376C0B41B35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F842-453C-905C-A376C0B41B35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F842-453C-905C-A376C0B41B35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F842-453C-905C-A376C0B41B35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F842-453C-905C-A376C0B41B35}"/>
              </c:ext>
            </c:extLst>
          </c:dPt>
          <c:cat>
            <c:strRef>
              <c:f>'Historical trend ass. Est_visua'!$B$398:$K$398</c:f>
              <c:strCache>
                <c:ptCount val="10"/>
                <c:pt idx="0">
                  <c:v>Oil shale for CHPs</c:v>
                </c:pt>
                <c:pt idx="1">
                  <c:v>Oil shale oil for CHPs</c:v>
                </c:pt>
                <c:pt idx="2">
                  <c:v>Oil shale oil for boilers</c:v>
                </c:pt>
                <c:pt idx="3">
                  <c:v>Municipal waste for CHPs</c:v>
                </c:pt>
                <c:pt idx="4">
                  <c:v>Natural gas (NG)</c:v>
                </c:pt>
                <c:pt idx="5">
                  <c:v>Biomass for boilers</c:v>
                </c:pt>
                <c:pt idx="6">
                  <c:v>Electricity (A/W H.P)</c:v>
                </c:pt>
                <c:pt idx="7">
                  <c:v>Electricity (W/W H.P)</c:v>
                </c:pt>
                <c:pt idx="8">
                  <c:v>Electricity (GT H.P)</c:v>
                </c:pt>
                <c:pt idx="9">
                  <c:v>Biomass for CHP</c:v>
                </c:pt>
              </c:strCache>
            </c:strRef>
          </c:cat>
          <c:val>
            <c:numRef>
              <c:f>'Historical trend ass. Est_visua'!$B$399:$K$399</c:f>
              <c:numCache>
                <c:formatCode>General</c:formatCode>
                <c:ptCount val="10"/>
                <c:pt idx="0">
                  <c:v>350</c:v>
                </c:pt>
                <c:pt idx="1">
                  <c:v>120</c:v>
                </c:pt>
                <c:pt idx="2">
                  <c:v>80</c:v>
                </c:pt>
                <c:pt idx="3">
                  <c:v>300</c:v>
                </c:pt>
                <c:pt idx="4">
                  <c:v>700</c:v>
                </c:pt>
                <c:pt idx="5">
                  <c:v>0</c:v>
                </c:pt>
                <c:pt idx="6">
                  <c:v>600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F842-453C-905C-A376C0B41B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'Historical trend ass. Est_visua'!$A$225</c:f>
              <c:strCache>
                <c:ptCount val="1"/>
                <c:pt idx="0">
                  <c:v>Total consumption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'Historical trend ass. Est_visua'!$B$224:$Z$224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Est_visua'!$B$225:$Z$225</c:f>
              <c:numCache>
                <c:formatCode>#,##0</c:formatCode>
                <c:ptCount val="25"/>
                <c:pt idx="0">
                  <c:v>7732</c:v>
                </c:pt>
                <c:pt idx="1">
                  <c:v>7875</c:v>
                </c:pt>
                <c:pt idx="2">
                  <c:v>7843</c:v>
                </c:pt>
                <c:pt idx="3">
                  <c:v>8131</c:v>
                </c:pt>
                <c:pt idx="4">
                  <c:v>8303</c:v>
                </c:pt>
                <c:pt idx="5">
                  <c:v>9269</c:v>
                </c:pt>
                <c:pt idx="6">
                  <c:v>9391</c:v>
                </c:pt>
                <c:pt idx="7">
                  <c:v>9518</c:v>
                </c:pt>
                <c:pt idx="8">
                  <c:v>8387</c:v>
                </c:pt>
                <c:pt idx="9">
                  <c:v>8843</c:v>
                </c:pt>
                <c:pt idx="10">
                  <c:v>8746</c:v>
                </c:pt>
                <c:pt idx="11">
                  <c:v>8767</c:v>
                </c:pt>
                <c:pt idx="12">
                  <c:v>8684</c:v>
                </c:pt>
                <c:pt idx="13">
                  <c:v>9080</c:v>
                </c:pt>
                <c:pt idx="14">
                  <c:v>8870</c:v>
                </c:pt>
                <c:pt idx="15" formatCode="0">
                  <c:v>8838.848</c:v>
                </c:pt>
                <c:pt idx="16" formatCode="0">
                  <c:v>9035.2929999999997</c:v>
                </c:pt>
                <c:pt idx="17" formatCode="0">
                  <c:v>9348.9189999999999</c:v>
                </c:pt>
                <c:pt idx="18" formatCode="0">
                  <c:v>9708.6759999999995</c:v>
                </c:pt>
                <c:pt idx="19" formatCode="0">
                  <c:v>9767.3469999999998</c:v>
                </c:pt>
                <c:pt idx="20" formatCode="0">
                  <c:v>9253.1550000000007</c:v>
                </c:pt>
                <c:pt idx="21" formatCode="0">
                  <c:v>9772.0959999999995</c:v>
                </c:pt>
                <c:pt idx="22" formatCode="0">
                  <c:v>9836.0310000000009</c:v>
                </c:pt>
                <c:pt idx="23" formatCode="0">
                  <c:v>9836.5570000000007</c:v>
                </c:pt>
                <c:pt idx="24" formatCode="0">
                  <c:v>11560.096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19-455B-BFAD-4B3282CCC1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85454431"/>
        <c:axId val="585452511"/>
      </c:barChart>
      <c:lineChart>
        <c:grouping val="standard"/>
        <c:varyColors val="0"/>
        <c:ser>
          <c:idx val="1"/>
          <c:order val="1"/>
          <c:tx>
            <c:strRef>
              <c:f>'Historical trend ass. Est_visua'!$A$226</c:f>
              <c:strCache>
                <c:ptCount val="1"/>
                <c:pt idx="0">
                  <c:v>Electricity share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'Historical trend ass. Est_visua'!$B$224:$Z$224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Est_visua'!$B$226:$Z$226</c:f>
              <c:numCache>
                <c:formatCode>0.0%</c:formatCode>
                <c:ptCount val="25"/>
                <c:pt idx="0">
                  <c:v>1.1769270563890325E-2</c:v>
                </c:pt>
                <c:pt idx="1">
                  <c:v>1.0793650793650795E-2</c:v>
                </c:pt>
                <c:pt idx="2">
                  <c:v>1.2367716435037613E-2</c:v>
                </c:pt>
                <c:pt idx="3">
                  <c:v>1.2052638051900134E-2</c:v>
                </c:pt>
                <c:pt idx="4">
                  <c:v>9.5146332650849087E-3</c:v>
                </c:pt>
                <c:pt idx="5">
                  <c:v>9.4940122990613881E-3</c:v>
                </c:pt>
                <c:pt idx="6">
                  <c:v>8.8382493877116382E-3</c:v>
                </c:pt>
                <c:pt idx="7">
                  <c:v>8.0899348602647622E-3</c:v>
                </c:pt>
                <c:pt idx="8">
                  <c:v>9.5385715989030635E-3</c:v>
                </c:pt>
                <c:pt idx="9">
                  <c:v>6.5588601153454707E-3</c:v>
                </c:pt>
                <c:pt idx="10">
                  <c:v>1.0176080493940087E-2</c:v>
                </c:pt>
                <c:pt idx="11">
                  <c:v>9.0110642180905674E-3</c:v>
                </c:pt>
                <c:pt idx="12">
                  <c:v>9.0971902349147853E-3</c:v>
                </c:pt>
                <c:pt idx="13">
                  <c:v>6.3876651982378851E-3</c:v>
                </c:pt>
                <c:pt idx="14">
                  <c:v>5.6369785794813977E-3</c:v>
                </c:pt>
                <c:pt idx="15">
                  <c:v>5.3174350322575973E-3</c:v>
                </c:pt>
                <c:pt idx="16">
                  <c:v>5.3125006571452639E-3</c:v>
                </c:pt>
                <c:pt idx="17">
                  <c:v>4.9203549629641677E-3</c:v>
                </c:pt>
                <c:pt idx="18">
                  <c:v>4.4290282217678296E-3</c:v>
                </c:pt>
                <c:pt idx="19">
                  <c:v>5.7333890154614145E-3</c:v>
                </c:pt>
                <c:pt idx="20">
                  <c:v>7.3358762497764268E-3</c:v>
                </c:pt>
                <c:pt idx="21">
                  <c:v>3.0633141549162024E-3</c:v>
                </c:pt>
                <c:pt idx="22">
                  <c:v>3.2992982637000631E-3</c:v>
                </c:pt>
                <c:pt idx="23">
                  <c:v>6.0617754769275471E-3</c:v>
                </c:pt>
                <c:pt idx="24">
                  <c:v>5.7253849795019015E-3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19-455B-BFAD-4B3282CCC1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5449631"/>
        <c:axId val="585453471"/>
      </c:lineChart>
      <c:catAx>
        <c:axId val="5854544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5452511"/>
        <c:crosses val="autoZero"/>
        <c:auto val="1"/>
        <c:lblAlgn val="ctr"/>
        <c:lblOffset val="100"/>
        <c:noMultiLvlLbl val="0"/>
      </c:catAx>
      <c:valAx>
        <c:axId val="585452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5454431"/>
        <c:crosses val="autoZero"/>
        <c:crossBetween val="between"/>
      </c:valAx>
      <c:valAx>
        <c:axId val="585453471"/>
        <c:scaling>
          <c:orientation val="minMax"/>
        </c:scaling>
        <c:delete val="0"/>
        <c:axPos val="r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5449631"/>
        <c:crosses val="max"/>
        <c:crossBetween val="between"/>
      </c:valAx>
      <c:catAx>
        <c:axId val="585449631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58545347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'Historical trend ass. Est_visua'!$A$330</c:f>
              <c:strCache>
                <c:ptCount val="1"/>
                <c:pt idx="0">
                  <c:v>Other services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'Historical trend ass. Est_visua'!$D$328:$E$328</c:f>
              <c:numCache>
                <c:formatCode>General</c:formatCode>
                <c:ptCount val="2"/>
                <c:pt idx="0">
                  <c:v>2022</c:v>
                </c:pt>
                <c:pt idx="1">
                  <c:v>2023</c:v>
                </c:pt>
              </c:numCache>
            </c:numRef>
          </c:cat>
          <c:val>
            <c:numRef>
              <c:f>'Historical trend ass. Est_visua'!$D$330:$E$330</c:f>
              <c:numCache>
                <c:formatCode>0</c:formatCode>
                <c:ptCount val="2"/>
                <c:pt idx="0">
                  <c:v>929</c:v>
                </c:pt>
                <c:pt idx="1">
                  <c:v>595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B-430E-8785-91154B2027CF}"/>
            </c:ext>
          </c:extLst>
        </c:ser>
        <c:ser>
          <c:idx val="1"/>
          <c:order val="1"/>
          <c:tx>
            <c:strRef>
              <c:f>'Historical trend ass. Est_visua'!$A$331</c:f>
              <c:strCache>
                <c:ptCount val="1"/>
                <c:pt idx="0">
                  <c:v>Wholesale and retail trade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'Historical trend ass. Est_visua'!$D$328:$E$328</c:f>
              <c:numCache>
                <c:formatCode>General</c:formatCode>
                <c:ptCount val="2"/>
                <c:pt idx="0">
                  <c:v>2022</c:v>
                </c:pt>
                <c:pt idx="1">
                  <c:v>2023</c:v>
                </c:pt>
              </c:numCache>
            </c:numRef>
          </c:cat>
          <c:val>
            <c:numRef>
              <c:f>'Historical trend ass. Est_visua'!$D$331:$E$331</c:f>
              <c:numCache>
                <c:formatCode>0</c:formatCode>
                <c:ptCount val="2"/>
                <c:pt idx="0">
                  <c:v>667</c:v>
                </c:pt>
                <c:pt idx="1">
                  <c:v>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B-430E-8785-91154B2027CF}"/>
            </c:ext>
          </c:extLst>
        </c:ser>
        <c:ser>
          <c:idx val="4"/>
          <c:order val="2"/>
          <c:tx>
            <c:strRef>
              <c:f>'Historical trend ass. Est_visua'!$A$332</c:f>
              <c:strCache>
                <c:ptCount val="1"/>
                <c:pt idx="0">
                  <c:v>transportation and storage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'Historical trend ass. Est_visua'!$D$328:$E$328</c:f>
              <c:numCache>
                <c:formatCode>General</c:formatCode>
                <c:ptCount val="2"/>
                <c:pt idx="0">
                  <c:v>2022</c:v>
                </c:pt>
                <c:pt idx="1">
                  <c:v>2023</c:v>
                </c:pt>
              </c:numCache>
            </c:numRef>
          </c:cat>
          <c:val>
            <c:numRef>
              <c:f>'Historical trend ass. Est_visua'!$D$332:$E$332</c:f>
              <c:numCache>
                <c:formatCode>0</c:formatCode>
                <c:ptCount val="2"/>
                <c:pt idx="0">
                  <c:v>223</c:v>
                </c:pt>
                <c:pt idx="1">
                  <c:v>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28B-430E-8785-91154B2027CF}"/>
            </c:ext>
          </c:extLst>
        </c:ser>
        <c:ser>
          <c:idx val="5"/>
          <c:order val="3"/>
          <c:tx>
            <c:strRef>
              <c:f>'Historical trend ass. Est_visua'!$A$333</c:f>
              <c:strCache>
                <c:ptCount val="1"/>
                <c:pt idx="0">
                  <c:v>Food and accomodation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'Historical trend ass. Est_visua'!$D$328:$E$328</c:f>
              <c:numCache>
                <c:formatCode>General</c:formatCode>
                <c:ptCount val="2"/>
                <c:pt idx="0">
                  <c:v>2022</c:v>
                </c:pt>
                <c:pt idx="1">
                  <c:v>2023</c:v>
                </c:pt>
              </c:numCache>
            </c:numRef>
          </c:cat>
          <c:val>
            <c:numRef>
              <c:f>'Historical trend ass. Est_visua'!$D$333:$E$333</c:f>
              <c:numCache>
                <c:formatCode>0</c:formatCode>
                <c:ptCount val="2"/>
                <c:pt idx="0">
                  <c:v>149</c:v>
                </c:pt>
                <c:pt idx="1">
                  <c:v>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28B-430E-8785-91154B2027CF}"/>
            </c:ext>
          </c:extLst>
        </c:ser>
        <c:ser>
          <c:idx val="6"/>
          <c:order val="4"/>
          <c:tx>
            <c:strRef>
              <c:f>'Historical trend ass. Est_visua'!$A$334</c:f>
              <c:strCache>
                <c:ptCount val="1"/>
                <c:pt idx="0">
                  <c:v>Technical and professional services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'Historical trend ass. Est_visua'!$D$328:$E$328</c:f>
              <c:numCache>
                <c:formatCode>General</c:formatCode>
                <c:ptCount val="2"/>
                <c:pt idx="0">
                  <c:v>2022</c:v>
                </c:pt>
                <c:pt idx="1">
                  <c:v>2023</c:v>
                </c:pt>
              </c:numCache>
            </c:numRef>
          </c:cat>
          <c:val>
            <c:numRef>
              <c:f>'Historical trend ass. Est_visua'!$D$334:$E$334</c:f>
              <c:numCache>
                <c:formatCode>0</c:formatCode>
                <c:ptCount val="2"/>
                <c:pt idx="0">
                  <c:v>758</c:v>
                </c:pt>
                <c:pt idx="1">
                  <c:v>479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28B-430E-8785-91154B2027CF}"/>
            </c:ext>
          </c:extLst>
        </c:ser>
        <c:ser>
          <c:idx val="7"/>
          <c:order val="5"/>
          <c:tx>
            <c:strRef>
              <c:f>'Historical trend ass. Est_visua'!$A$335</c:f>
              <c:strCache>
                <c:ptCount val="1"/>
                <c:pt idx="0">
                  <c:v>Arts, sports and recreation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'Historical trend ass. Est_visua'!$D$328:$E$328</c:f>
              <c:numCache>
                <c:formatCode>General</c:formatCode>
                <c:ptCount val="2"/>
                <c:pt idx="0">
                  <c:v>2022</c:v>
                </c:pt>
                <c:pt idx="1">
                  <c:v>2023</c:v>
                </c:pt>
              </c:numCache>
            </c:numRef>
          </c:cat>
          <c:val>
            <c:numRef>
              <c:f>'Historical trend ass. Est_visua'!$D$335:$E$335</c:f>
              <c:numCache>
                <c:formatCode>0</c:formatCode>
                <c:ptCount val="2"/>
                <c:pt idx="0">
                  <c:v>182</c:v>
                </c:pt>
                <c:pt idx="1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28B-430E-8785-91154B2027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50196688"/>
        <c:axId val="1750191408"/>
      </c:barChart>
      <c:catAx>
        <c:axId val="1750196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b" anchorCtr="0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0191408"/>
        <c:crosses val="autoZero"/>
        <c:auto val="1"/>
        <c:lblAlgn val="ctr"/>
        <c:lblOffset val="100"/>
        <c:noMultiLvlLbl val="0"/>
      </c:catAx>
      <c:valAx>
        <c:axId val="1750191408"/>
        <c:scaling>
          <c:orientation val="minMax"/>
          <c:max val="3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  <a:alpha val="99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0196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2"/>
          <c:order val="0"/>
          <c:tx>
            <c:strRef>
              <c:f>'Historical trend ass. Est_visua'!$C$339</c:f>
              <c:strCache>
                <c:ptCount val="1"/>
                <c:pt idx="0">
                  <c:v>Iron &amp; Steel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'Historical trend ass. Est_visua'!$A$340:$A$364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Est_visua'!$C$340:$C$364</c:f>
              <c:numCache>
                <c:formatCode>General</c:formatCode>
                <c:ptCount val="25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3</c:v>
                </c:pt>
                <c:pt idx="5">
                  <c:v>5</c:v>
                </c:pt>
                <c:pt idx="6">
                  <c:v>6</c:v>
                </c:pt>
                <c:pt idx="7">
                  <c:v>5</c:v>
                </c:pt>
                <c:pt idx="8">
                  <c:v>4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8</c:v>
                </c:pt>
                <c:pt idx="20">
                  <c:v>8</c:v>
                </c:pt>
                <c:pt idx="21">
                  <c:v>10</c:v>
                </c:pt>
                <c:pt idx="22">
                  <c:v>10</c:v>
                </c:pt>
                <c:pt idx="23">
                  <c:v>9</c:v>
                </c:pt>
                <c:pt idx="2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15-4A5E-BE5C-F68D56AB160F}"/>
            </c:ext>
          </c:extLst>
        </c:ser>
        <c:ser>
          <c:idx val="3"/>
          <c:order val="1"/>
          <c:tx>
            <c:strRef>
              <c:f>'Historical trend ass. Est_visua'!$D$339</c:f>
              <c:strCache>
                <c:ptCount val="1"/>
                <c:pt idx="0">
                  <c:v>Chemical &amp; Petrochemical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'Historical trend ass. Est_visua'!$A$340:$A$364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Est_visua'!$D$340:$D$364</c:f>
              <c:numCache>
                <c:formatCode>General</c:formatCode>
                <c:ptCount val="25"/>
                <c:pt idx="0">
                  <c:v>311</c:v>
                </c:pt>
                <c:pt idx="1">
                  <c:v>307</c:v>
                </c:pt>
                <c:pt idx="2">
                  <c:v>282</c:v>
                </c:pt>
                <c:pt idx="3">
                  <c:v>305</c:v>
                </c:pt>
                <c:pt idx="4">
                  <c:v>330</c:v>
                </c:pt>
                <c:pt idx="5">
                  <c:v>358</c:v>
                </c:pt>
                <c:pt idx="6">
                  <c:v>361</c:v>
                </c:pt>
                <c:pt idx="7">
                  <c:v>320</c:v>
                </c:pt>
                <c:pt idx="8">
                  <c:v>354</c:v>
                </c:pt>
                <c:pt idx="9">
                  <c:v>321</c:v>
                </c:pt>
                <c:pt idx="10">
                  <c:v>252</c:v>
                </c:pt>
                <c:pt idx="11">
                  <c:v>199</c:v>
                </c:pt>
                <c:pt idx="12">
                  <c:v>198</c:v>
                </c:pt>
                <c:pt idx="13">
                  <c:v>253</c:v>
                </c:pt>
                <c:pt idx="14">
                  <c:v>151</c:v>
                </c:pt>
                <c:pt idx="15">
                  <c:v>134</c:v>
                </c:pt>
                <c:pt idx="16">
                  <c:v>114</c:v>
                </c:pt>
                <c:pt idx="17">
                  <c:v>114</c:v>
                </c:pt>
                <c:pt idx="18">
                  <c:v>116</c:v>
                </c:pt>
                <c:pt idx="19">
                  <c:v>140</c:v>
                </c:pt>
                <c:pt idx="20">
                  <c:v>128</c:v>
                </c:pt>
                <c:pt idx="21">
                  <c:v>125</c:v>
                </c:pt>
                <c:pt idx="22">
                  <c:v>95</c:v>
                </c:pt>
                <c:pt idx="23">
                  <c:v>103</c:v>
                </c:pt>
                <c:pt idx="24">
                  <c:v>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15-4A5E-BE5C-F68D56AB160F}"/>
            </c:ext>
          </c:extLst>
        </c:ser>
        <c:ser>
          <c:idx val="4"/>
          <c:order val="2"/>
          <c:tx>
            <c:strRef>
              <c:f>'Historical trend ass. Est_visua'!$E$339</c:f>
              <c:strCache>
                <c:ptCount val="1"/>
                <c:pt idx="0">
                  <c:v>Non-ferrous Metals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'Historical trend ass. Est_visua'!$A$340:$A$364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Est_visua'!$E$340:$E$364</c:f>
              <c:numCache>
                <c:formatCode>General</c:formatCode>
                <c:ptCount val="25"/>
                <c:pt idx="0">
                  <c:v>1</c:v>
                </c:pt>
                <c:pt idx="1">
                  <c:v>3</c:v>
                </c:pt>
                <c:pt idx="2">
                  <c:v>3</c:v>
                </c:pt>
                <c:pt idx="3">
                  <c:v>4</c:v>
                </c:pt>
                <c:pt idx="4">
                  <c:v>3</c:v>
                </c:pt>
                <c:pt idx="5">
                  <c:v>7</c:v>
                </c:pt>
                <c:pt idx="6">
                  <c:v>7</c:v>
                </c:pt>
                <c:pt idx="7">
                  <c:v>9</c:v>
                </c:pt>
                <c:pt idx="8">
                  <c:v>9</c:v>
                </c:pt>
                <c:pt idx="9">
                  <c:v>6</c:v>
                </c:pt>
                <c:pt idx="10">
                  <c:v>10</c:v>
                </c:pt>
                <c:pt idx="11">
                  <c:v>7</c:v>
                </c:pt>
                <c:pt idx="12">
                  <c:v>9</c:v>
                </c:pt>
                <c:pt idx="13">
                  <c:v>5</c:v>
                </c:pt>
                <c:pt idx="14">
                  <c:v>5</c:v>
                </c:pt>
                <c:pt idx="15">
                  <c:v>4</c:v>
                </c:pt>
                <c:pt idx="16">
                  <c:v>5</c:v>
                </c:pt>
                <c:pt idx="17">
                  <c:v>0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4</c:v>
                </c:pt>
                <c:pt idx="2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15-4A5E-BE5C-F68D56AB160F}"/>
            </c:ext>
          </c:extLst>
        </c:ser>
        <c:ser>
          <c:idx val="5"/>
          <c:order val="3"/>
          <c:tx>
            <c:strRef>
              <c:f>'Historical trend ass. Est_visua'!$F$339</c:f>
              <c:strCache>
                <c:ptCount val="1"/>
                <c:pt idx="0">
                  <c:v>Non-metallic Minerals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'Historical trend ass. Est_visua'!$A$340:$A$364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Est_visua'!$F$340:$F$364</c:f>
              <c:numCache>
                <c:formatCode>General</c:formatCode>
                <c:ptCount val="25"/>
                <c:pt idx="0">
                  <c:v>151</c:v>
                </c:pt>
                <c:pt idx="1">
                  <c:v>166</c:v>
                </c:pt>
                <c:pt idx="2">
                  <c:v>172</c:v>
                </c:pt>
                <c:pt idx="3">
                  <c:v>194</c:v>
                </c:pt>
                <c:pt idx="4">
                  <c:v>200</c:v>
                </c:pt>
                <c:pt idx="5">
                  <c:v>205</c:v>
                </c:pt>
                <c:pt idx="6">
                  <c:v>218</c:v>
                </c:pt>
                <c:pt idx="7">
                  <c:v>262</c:v>
                </c:pt>
                <c:pt idx="8">
                  <c:v>245</c:v>
                </c:pt>
                <c:pt idx="9">
                  <c:v>205</c:v>
                </c:pt>
                <c:pt idx="10">
                  <c:v>210</c:v>
                </c:pt>
                <c:pt idx="11">
                  <c:v>202</c:v>
                </c:pt>
                <c:pt idx="12">
                  <c:v>206</c:v>
                </c:pt>
                <c:pt idx="13">
                  <c:v>194</c:v>
                </c:pt>
                <c:pt idx="14">
                  <c:v>209</c:v>
                </c:pt>
                <c:pt idx="15">
                  <c:v>159</c:v>
                </c:pt>
                <c:pt idx="16">
                  <c:v>161</c:v>
                </c:pt>
                <c:pt idx="17">
                  <c:v>150</c:v>
                </c:pt>
                <c:pt idx="18">
                  <c:v>194</c:v>
                </c:pt>
                <c:pt idx="19">
                  <c:v>186</c:v>
                </c:pt>
                <c:pt idx="20">
                  <c:v>133</c:v>
                </c:pt>
                <c:pt idx="21">
                  <c:v>174</c:v>
                </c:pt>
                <c:pt idx="22">
                  <c:v>142</c:v>
                </c:pt>
                <c:pt idx="23">
                  <c:v>133</c:v>
                </c:pt>
                <c:pt idx="24">
                  <c:v>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715-4A5E-BE5C-F68D56AB160F}"/>
            </c:ext>
          </c:extLst>
        </c:ser>
        <c:ser>
          <c:idx val="6"/>
          <c:order val="4"/>
          <c:tx>
            <c:strRef>
              <c:f>'Historical trend ass. Est_visua'!$G$339</c:f>
              <c:strCache>
                <c:ptCount val="1"/>
                <c:pt idx="0">
                  <c:v>Transport Equipment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'Historical trend ass. Est_visua'!$A$340:$A$364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Est_visua'!$G$340:$G$364</c:f>
              <c:numCache>
                <c:formatCode>General</c:formatCode>
                <c:ptCount val="25"/>
                <c:pt idx="0">
                  <c:v>48</c:v>
                </c:pt>
                <c:pt idx="1">
                  <c:v>30</c:v>
                </c:pt>
                <c:pt idx="2">
                  <c:v>39</c:v>
                </c:pt>
                <c:pt idx="3">
                  <c:v>42</c:v>
                </c:pt>
                <c:pt idx="4">
                  <c:v>46</c:v>
                </c:pt>
                <c:pt idx="5">
                  <c:v>47</c:v>
                </c:pt>
                <c:pt idx="6">
                  <c:v>55</c:v>
                </c:pt>
                <c:pt idx="7">
                  <c:v>54</c:v>
                </c:pt>
                <c:pt idx="8">
                  <c:v>43</c:v>
                </c:pt>
                <c:pt idx="9">
                  <c:v>38</c:v>
                </c:pt>
                <c:pt idx="10">
                  <c:v>40</c:v>
                </c:pt>
                <c:pt idx="11">
                  <c:v>44</c:v>
                </c:pt>
                <c:pt idx="12">
                  <c:v>61</c:v>
                </c:pt>
                <c:pt idx="13">
                  <c:v>70</c:v>
                </c:pt>
                <c:pt idx="14">
                  <c:v>61</c:v>
                </c:pt>
                <c:pt idx="15">
                  <c:v>65</c:v>
                </c:pt>
                <c:pt idx="16">
                  <c:v>67</c:v>
                </c:pt>
                <c:pt idx="17">
                  <c:v>72</c:v>
                </c:pt>
                <c:pt idx="18">
                  <c:v>82</c:v>
                </c:pt>
                <c:pt idx="19">
                  <c:v>59</c:v>
                </c:pt>
                <c:pt idx="20">
                  <c:v>59</c:v>
                </c:pt>
                <c:pt idx="21">
                  <c:v>57</c:v>
                </c:pt>
                <c:pt idx="22">
                  <c:v>67</c:v>
                </c:pt>
                <c:pt idx="23">
                  <c:v>46</c:v>
                </c:pt>
                <c:pt idx="24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715-4A5E-BE5C-F68D56AB160F}"/>
            </c:ext>
          </c:extLst>
        </c:ser>
        <c:ser>
          <c:idx val="7"/>
          <c:order val="5"/>
          <c:tx>
            <c:strRef>
              <c:f>'Historical trend ass. Est_visua'!$H$339</c:f>
              <c:strCache>
                <c:ptCount val="1"/>
                <c:pt idx="0">
                  <c:v>Machinery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'Historical trend ass. Est_visua'!$A$340:$A$364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Est_visua'!$H$340:$H$364</c:f>
              <c:numCache>
                <c:formatCode>General</c:formatCode>
                <c:ptCount val="25"/>
                <c:pt idx="0">
                  <c:v>133</c:v>
                </c:pt>
                <c:pt idx="1">
                  <c:v>132</c:v>
                </c:pt>
                <c:pt idx="2">
                  <c:v>157</c:v>
                </c:pt>
                <c:pt idx="3">
                  <c:v>182</c:v>
                </c:pt>
                <c:pt idx="4">
                  <c:v>200</c:v>
                </c:pt>
                <c:pt idx="5">
                  <c:v>207</c:v>
                </c:pt>
                <c:pt idx="6">
                  <c:v>216</c:v>
                </c:pt>
                <c:pt idx="7">
                  <c:v>230</c:v>
                </c:pt>
                <c:pt idx="8">
                  <c:v>248</c:v>
                </c:pt>
                <c:pt idx="9">
                  <c:v>234</c:v>
                </c:pt>
                <c:pt idx="10">
                  <c:v>294</c:v>
                </c:pt>
                <c:pt idx="11">
                  <c:v>293</c:v>
                </c:pt>
                <c:pt idx="12">
                  <c:v>285</c:v>
                </c:pt>
                <c:pt idx="13">
                  <c:v>260</c:v>
                </c:pt>
                <c:pt idx="14">
                  <c:v>248</c:v>
                </c:pt>
                <c:pt idx="15">
                  <c:v>250</c:v>
                </c:pt>
                <c:pt idx="16">
                  <c:v>294</c:v>
                </c:pt>
                <c:pt idx="17">
                  <c:v>302</c:v>
                </c:pt>
                <c:pt idx="18">
                  <c:v>320</c:v>
                </c:pt>
                <c:pt idx="19">
                  <c:v>226</c:v>
                </c:pt>
                <c:pt idx="20">
                  <c:v>224</c:v>
                </c:pt>
                <c:pt idx="21">
                  <c:v>274</c:v>
                </c:pt>
                <c:pt idx="22">
                  <c:v>247</c:v>
                </c:pt>
                <c:pt idx="23">
                  <c:v>201</c:v>
                </c:pt>
                <c:pt idx="24">
                  <c:v>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715-4A5E-BE5C-F68D56AB160F}"/>
            </c:ext>
          </c:extLst>
        </c:ser>
        <c:ser>
          <c:idx val="8"/>
          <c:order val="6"/>
          <c:tx>
            <c:strRef>
              <c:f>'Historical trend ass. Est_visua'!$I$339</c:f>
              <c:strCache>
                <c:ptCount val="1"/>
                <c:pt idx="0">
                  <c:v>Mining &amp; Quarrying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'Historical trend ass. Est_visua'!$A$340:$A$364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Est_visua'!$I$340:$I$364</c:f>
              <c:numCache>
                <c:formatCode>General</c:formatCode>
                <c:ptCount val="25"/>
                <c:pt idx="0">
                  <c:v>8</c:v>
                </c:pt>
                <c:pt idx="1">
                  <c:v>15</c:v>
                </c:pt>
                <c:pt idx="2">
                  <c:v>12</c:v>
                </c:pt>
                <c:pt idx="3">
                  <c:v>17</c:v>
                </c:pt>
                <c:pt idx="4">
                  <c:v>19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19</c:v>
                </c:pt>
                <c:pt idx="9">
                  <c:v>16</c:v>
                </c:pt>
                <c:pt idx="10">
                  <c:v>15</c:v>
                </c:pt>
                <c:pt idx="11">
                  <c:v>16</c:v>
                </c:pt>
                <c:pt idx="12">
                  <c:v>19</c:v>
                </c:pt>
                <c:pt idx="13">
                  <c:v>19</c:v>
                </c:pt>
                <c:pt idx="14">
                  <c:v>18</c:v>
                </c:pt>
                <c:pt idx="15">
                  <c:v>18</c:v>
                </c:pt>
                <c:pt idx="16">
                  <c:v>18</c:v>
                </c:pt>
                <c:pt idx="17">
                  <c:v>10</c:v>
                </c:pt>
                <c:pt idx="18">
                  <c:v>20</c:v>
                </c:pt>
                <c:pt idx="19">
                  <c:v>18</c:v>
                </c:pt>
                <c:pt idx="20">
                  <c:v>17</c:v>
                </c:pt>
                <c:pt idx="21">
                  <c:v>16</c:v>
                </c:pt>
                <c:pt idx="22">
                  <c:v>16</c:v>
                </c:pt>
                <c:pt idx="23">
                  <c:v>14</c:v>
                </c:pt>
                <c:pt idx="24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715-4A5E-BE5C-F68D56AB160F}"/>
            </c:ext>
          </c:extLst>
        </c:ser>
        <c:ser>
          <c:idx val="9"/>
          <c:order val="7"/>
          <c:tx>
            <c:strRef>
              <c:f>'Historical trend ass. Est_visua'!$J$339</c:f>
              <c:strCache>
                <c:ptCount val="1"/>
                <c:pt idx="0">
                  <c:v>Food, Beverages &amp; Tobacco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'Historical trend ass. Est_visua'!$A$340:$A$364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Est_visua'!$J$340:$J$364</c:f>
              <c:numCache>
                <c:formatCode>General</c:formatCode>
                <c:ptCount val="25"/>
                <c:pt idx="0">
                  <c:v>267</c:v>
                </c:pt>
                <c:pt idx="1">
                  <c:v>287</c:v>
                </c:pt>
                <c:pt idx="2">
                  <c:v>292</c:v>
                </c:pt>
                <c:pt idx="3">
                  <c:v>289</c:v>
                </c:pt>
                <c:pt idx="4">
                  <c:v>300</c:v>
                </c:pt>
                <c:pt idx="5">
                  <c:v>304</c:v>
                </c:pt>
                <c:pt idx="6">
                  <c:v>294</c:v>
                </c:pt>
                <c:pt idx="7">
                  <c:v>315</c:v>
                </c:pt>
                <c:pt idx="8">
                  <c:v>310</c:v>
                </c:pt>
                <c:pt idx="9">
                  <c:v>249</c:v>
                </c:pt>
                <c:pt idx="10">
                  <c:v>278</c:v>
                </c:pt>
                <c:pt idx="11">
                  <c:v>265</c:v>
                </c:pt>
                <c:pt idx="12">
                  <c:v>321</c:v>
                </c:pt>
                <c:pt idx="13">
                  <c:v>288</c:v>
                </c:pt>
                <c:pt idx="14">
                  <c:v>318</c:v>
                </c:pt>
                <c:pt idx="15">
                  <c:v>321</c:v>
                </c:pt>
                <c:pt idx="16">
                  <c:v>320</c:v>
                </c:pt>
                <c:pt idx="17">
                  <c:v>309</c:v>
                </c:pt>
                <c:pt idx="18">
                  <c:v>290</c:v>
                </c:pt>
                <c:pt idx="19">
                  <c:v>297</c:v>
                </c:pt>
                <c:pt idx="20">
                  <c:v>310</c:v>
                </c:pt>
                <c:pt idx="21">
                  <c:v>336</c:v>
                </c:pt>
                <c:pt idx="22">
                  <c:v>308</c:v>
                </c:pt>
                <c:pt idx="23">
                  <c:v>319</c:v>
                </c:pt>
                <c:pt idx="24">
                  <c:v>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715-4A5E-BE5C-F68D56AB160F}"/>
            </c:ext>
          </c:extLst>
        </c:ser>
        <c:ser>
          <c:idx val="10"/>
          <c:order val="8"/>
          <c:tx>
            <c:strRef>
              <c:f>'Historical trend ass. Est_visua'!$K$339</c:f>
              <c:strCache>
                <c:ptCount val="1"/>
                <c:pt idx="0">
                  <c:v>Paper, Pulp &amp; Printing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'Historical trend ass. Est_visua'!$A$340:$A$364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Est_visua'!$K$340:$K$364</c:f>
              <c:numCache>
                <c:formatCode>General</c:formatCode>
                <c:ptCount val="25"/>
                <c:pt idx="0">
                  <c:v>104</c:v>
                </c:pt>
                <c:pt idx="1">
                  <c:v>109</c:v>
                </c:pt>
                <c:pt idx="2">
                  <c:v>130</c:v>
                </c:pt>
                <c:pt idx="3">
                  <c:v>127</c:v>
                </c:pt>
                <c:pt idx="4">
                  <c:v>136</c:v>
                </c:pt>
                <c:pt idx="5">
                  <c:v>140</c:v>
                </c:pt>
                <c:pt idx="6">
                  <c:v>267</c:v>
                </c:pt>
                <c:pt idx="7">
                  <c:v>345</c:v>
                </c:pt>
                <c:pt idx="8">
                  <c:v>335</c:v>
                </c:pt>
                <c:pt idx="9">
                  <c:v>275</c:v>
                </c:pt>
                <c:pt idx="10">
                  <c:v>351</c:v>
                </c:pt>
                <c:pt idx="11">
                  <c:v>337</c:v>
                </c:pt>
                <c:pt idx="12">
                  <c:v>364</c:v>
                </c:pt>
                <c:pt idx="13">
                  <c:v>355</c:v>
                </c:pt>
                <c:pt idx="14">
                  <c:v>367</c:v>
                </c:pt>
                <c:pt idx="15">
                  <c:v>369</c:v>
                </c:pt>
                <c:pt idx="16">
                  <c:v>403</c:v>
                </c:pt>
                <c:pt idx="17">
                  <c:v>491</c:v>
                </c:pt>
                <c:pt idx="18">
                  <c:v>482</c:v>
                </c:pt>
                <c:pt idx="19">
                  <c:v>355</c:v>
                </c:pt>
                <c:pt idx="20">
                  <c:v>360</c:v>
                </c:pt>
                <c:pt idx="21">
                  <c:v>382</c:v>
                </c:pt>
                <c:pt idx="22">
                  <c:v>343</c:v>
                </c:pt>
                <c:pt idx="23">
                  <c:v>258</c:v>
                </c:pt>
                <c:pt idx="24">
                  <c:v>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715-4A5E-BE5C-F68D56AB160F}"/>
            </c:ext>
          </c:extLst>
        </c:ser>
        <c:ser>
          <c:idx val="11"/>
          <c:order val="9"/>
          <c:tx>
            <c:strRef>
              <c:f>'Historical trend ass. Est_visua'!$L$339</c:f>
              <c:strCache>
                <c:ptCount val="1"/>
                <c:pt idx="0">
                  <c:v>Wood &amp; Wood Products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'Historical trend ass. Est_visua'!$A$340:$A$364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Est_visua'!$L$340:$L$364</c:f>
              <c:numCache>
                <c:formatCode>General</c:formatCode>
                <c:ptCount val="25"/>
                <c:pt idx="0">
                  <c:v>219</c:v>
                </c:pt>
                <c:pt idx="1">
                  <c:v>221</c:v>
                </c:pt>
                <c:pt idx="2">
                  <c:v>243</c:v>
                </c:pt>
                <c:pt idx="3">
                  <c:v>301</c:v>
                </c:pt>
                <c:pt idx="4">
                  <c:v>341</c:v>
                </c:pt>
                <c:pt idx="5">
                  <c:v>359</c:v>
                </c:pt>
                <c:pt idx="6">
                  <c:v>364</c:v>
                </c:pt>
                <c:pt idx="7">
                  <c:v>336</c:v>
                </c:pt>
                <c:pt idx="8">
                  <c:v>288</c:v>
                </c:pt>
                <c:pt idx="9">
                  <c:v>233</c:v>
                </c:pt>
                <c:pt idx="10">
                  <c:v>278</c:v>
                </c:pt>
                <c:pt idx="11">
                  <c:v>290</c:v>
                </c:pt>
                <c:pt idx="12">
                  <c:v>314</c:v>
                </c:pt>
                <c:pt idx="13">
                  <c:v>339</c:v>
                </c:pt>
                <c:pt idx="14">
                  <c:v>365</c:v>
                </c:pt>
                <c:pt idx="15">
                  <c:v>374</c:v>
                </c:pt>
                <c:pt idx="16">
                  <c:v>412</c:v>
                </c:pt>
                <c:pt idx="17">
                  <c:v>499</c:v>
                </c:pt>
                <c:pt idx="18">
                  <c:v>539</c:v>
                </c:pt>
                <c:pt idx="19">
                  <c:v>562</c:v>
                </c:pt>
                <c:pt idx="20">
                  <c:v>580</c:v>
                </c:pt>
                <c:pt idx="21">
                  <c:v>519</c:v>
                </c:pt>
                <c:pt idx="22">
                  <c:v>569</c:v>
                </c:pt>
                <c:pt idx="23">
                  <c:v>486</c:v>
                </c:pt>
                <c:pt idx="24">
                  <c:v>430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715-4A5E-BE5C-F68D56AB160F}"/>
            </c:ext>
          </c:extLst>
        </c:ser>
        <c:ser>
          <c:idx val="12"/>
          <c:order val="10"/>
          <c:tx>
            <c:strRef>
              <c:f>'Historical trend ass. Est_visua'!$M$339</c:f>
              <c:strCache>
                <c:ptCount val="1"/>
                <c:pt idx="0">
                  <c:v>Textile &amp; Leather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'Historical trend ass. Est_visua'!$A$340:$A$364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Est_visua'!$M$340:$M$364</c:f>
              <c:numCache>
                <c:formatCode>General</c:formatCode>
                <c:ptCount val="25"/>
                <c:pt idx="0">
                  <c:v>301</c:v>
                </c:pt>
                <c:pt idx="1">
                  <c:v>249</c:v>
                </c:pt>
                <c:pt idx="2">
                  <c:v>242</c:v>
                </c:pt>
                <c:pt idx="3">
                  <c:v>255</c:v>
                </c:pt>
                <c:pt idx="4">
                  <c:v>261</c:v>
                </c:pt>
                <c:pt idx="5">
                  <c:v>195</c:v>
                </c:pt>
                <c:pt idx="6">
                  <c:v>195</c:v>
                </c:pt>
                <c:pt idx="7">
                  <c:v>150</c:v>
                </c:pt>
                <c:pt idx="8">
                  <c:v>133</c:v>
                </c:pt>
                <c:pt idx="9">
                  <c:v>116</c:v>
                </c:pt>
                <c:pt idx="10">
                  <c:v>123</c:v>
                </c:pt>
                <c:pt idx="11">
                  <c:v>124</c:v>
                </c:pt>
                <c:pt idx="12">
                  <c:v>118</c:v>
                </c:pt>
                <c:pt idx="13">
                  <c:v>111</c:v>
                </c:pt>
                <c:pt idx="14">
                  <c:v>115</c:v>
                </c:pt>
                <c:pt idx="15">
                  <c:v>98</c:v>
                </c:pt>
                <c:pt idx="16">
                  <c:v>74</c:v>
                </c:pt>
                <c:pt idx="17">
                  <c:v>58</c:v>
                </c:pt>
                <c:pt idx="18">
                  <c:v>61</c:v>
                </c:pt>
                <c:pt idx="19">
                  <c:v>53</c:v>
                </c:pt>
                <c:pt idx="20">
                  <c:v>59</c:v>
                </c:pt>
                <c:pt idx="21">
                  <c:v>74</c:v>
                </c:pt>
                <c:pt idx="22">
                  <c:v>58</c:v>
                </c:pt>
                <c:pt idx="23">
                  <c:v>35</c:v>
                </c:pt>
                <c:pt idx="24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715-4A5E-BE5C-F68D56AB160F}"/>
            </c:ext>
          </c:extLst>
        </c:ser>
        <c:ser>
          <c:idx val="13"/>
          <c:order val="11"/>
          <c:tx>
            <c:strRef>
              <c:f>'Historical trend ass. Est_visua'!$N$339</c:f>
              <c:strCache>
                <c:ptCount val="1"/>
                <c:pt idx="0">
                  <c:v>Not Elsewhere Specified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'Historical trend ass. Est_visua'!$A$340:$A$364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Est_visua'!$N$340:$N$364</c:f>
              <c:numCache>
                <c:formatCode>General</c:formatCode>
                <c:ptCount val="25"/>
                <c:pt idx="0">
                  <c:v>184</c:v>
                </c:pt>
                <c:pt idx="1">
                  <c:v>200</c:v>
                </c:pt>
                <c:pt idx="2">
                  <c:v>214</c:v>
                </c:pt>
                <c:pt idx="3">
                  <c:v>215</c:v>
                </c:pt>
                <c:pt idx="4">
                  <c:v>210</c:v>
                </c:pt>
                <c:pt idx="5">
                  <c:v>224</c:v>
                </c:pt>
                <c:pt idx="6">
                  <c:v>229</c:v>
                </c:pt>
                <c:pt idx="7">
                  <c:v>240</c:v>
                </c:pt>
                <c:pt idx="8">
                  <c:v>246</c:v>
                </c:pt>
                <c:pt idx="9">
                  <c:v>167</c:v>
                </c:pt>
                <c:pt idx="10">
                  <c:v>179</c:v>
                </c:pt>
                <c:pt idx="11">
                  <c:v>195</c:v>
                </c:pt>
                <c:pt idx="12">
                  <c:v>209</c:v>
                </c:pt>
                <c:pt idx="13">
                  <c:v>177</c:v>
                </c:pt>
                <c:pt idx="14">
                  <c:v>181</c:v>
                </c:pt>
                <c:pt idx="15">
                  <c:v>185</c:v>
                </c:pt>
                <c:pt idx="16">
                  <c:v>200</c:v>
                </c:pt>
                <c:pt idx="17">
                  <c:v>192</c:v>
                </c:pt>
                <c:pt idx="18">
                  <c:v>179</c:v>
                </c:pt>
                <c:pt idx="19">
                  <c:v>158</c:v>
                </c:pt>
                <c:pt idx="20">
                  <c:v>164</c:v>
                </c:pt>
                <c:pt idx="21">
                  <c:v>184</c:v>
                </c:pt>
                <c:pt idx="22">
                  <c:v>166</c:v>
                </c:pt>
                <c:pt idx="23">
                  <c:v>139</c:v>
                </c:pt>
                <c:pt idx="24">
                  <c:v>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715-4A5E-BE5C-F68D56AB16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5051152"/>
        <c:axId val="1655047312"/>
      </c:barChart>
      <c:catAx>
        <c:axId val="1655051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55047312"/>
        <c:crosses val="autoZero"/>
        <c:auto val="1"/>
        <c:lblAlgn val="ctr"/>
        <c:lblOffset val="100"/>
        <c:noMultiLvlLbl val="0"/>
      </c:catAx>
      <c:valAx>
        <c:axId val="1655047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55051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'Historical trend ass. Est_visua'!$A$293</c:f>
              <c:strCache>
                <c:ptCount val="1"/>
                <c:pt idx="0">
                  <c:v> Space heating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'Historical trend ass. Est_visua'!$B$292:$K$292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'Historical trend ass. Est_visua'!$B$293:$K$293</c:f>
              <c:numCache>
                <c:formatCode>0</c:formatCode>
                <c:ptCount val="10"/>
                <c:pt idx="0">
                  <c:v>375.97859800000003</c:v>
                </c:pt>
                <c:pt idx="1">
                  <c:v>373.59975200000002</c:v>
                </c:pt>
                <c:pt idx="2">
                  <c:v>413.59755800000005</c:v>
                </c:pt>
                <c:pt idx="3">
                  <c:v>419.43528000000003</c:v>
                </c:pt>
                <c:pt idx="4">
                  <c:v>402.32160000000005</c:v>
                </c:pt>
                <c:pt idx="5">
                  <c:v>447.47769600000004</c:v>
                </c:pt>
                <c:pt idx="6">
                  <c:v>431.91331000000002</c:v>
                </c:pt>
                <c:pt idx="7">
                  <c:v>481.84906000000007</c:v>
                </c:pt>
                <c:pt idx="8">
                  <c:v>425.34000000000003</c:v>
                </c:pt>
                <c:pt idx="9">
                  <c:v>467.38889000000006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FB-4783-8D24-61327539DB9F}"/>
            </c:ext>
          </c:extLst>
        </c:ser>
        <c:ser>
          <c:idx val="2"/>
          <c:order val="1"/>
          <c:tx>
            <c:strRef>
              <c:f>'Historical trend ass. Est_visua'!$A$294</c:f>
              <c:strCache>
                <c:ptCount val="1"/>
                <c:pt idx="0">
                  <c:v> Space cooling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'Historical trend ass. Est_visua'!$B$292:$K$292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'Historical trend ass. Est_visua'!$B$294:$K$294</c:f>
              <c:numCache>
                <c:formatCode>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FB-4783-8D24-61327539DB9F}"/>
            </c:ext>
          </c:extLst>
        </c:ser>
        <c:ser>
          <c:idx val="3"/>
          <c:order val="2"/>
          <c:tx>
            <c:strRef>
              <c:f>'Historical trend ass. Est_visua'!$A$295</c:f>
              <c:strCache>
                <c:ptCount val="1"/>
                <c:pt idx="0">
                  <c:v>Water heating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'Historical trend ass. Est_visua'!$B$292:$K$292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'Historical trend ass. Est_visua'!$B$295:$K$295</c:f>
              <c:numCache>
                <c:formatCode>0</c:formatCode>
                <c:ptCount val="10"/>
                <c:pt idx="0">
                  <c:v>66.143984000000003</c:v>
                </c:pt>
                <c:pt idx="1">
                  <c:v>65.725594000000001</c:v>
                </c:pt>
                <c:pt idx="2">
                  <c:v>72.762051999999997</c:v>
                </c:pt>
                <c:pt idx="3">
                  <c:v>73.790096000000005</c:v>
                </c:pt>
                <c:pt idx="4">
                  <c:v>71.05680000000001</c:v>
                </c:pt>
                <c:pt idx="5">
                  <c:v>78.72292800000001</c:v>
                </c:pt>
                <c:pt idx="6">
                  <c:v>75.984628000000015</c:v>
                </c:pt>
                <c:pt idx="7">
                  <c:v>84.769706000000014</c:v>
                </c:pt>
                <c:pt idx="8">
                  <c:v>73.058400000000006</c:v>
                </c:pt>
                <c:pt idx="9">
                  <c:v>82.280215999999996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FB-4783-8D24-61327539DB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39890784"/>
        <c:axId val="2039893664"/>
      </c:barChart>
      <c:catAx>
        <c:axId val="2039890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39893664"/>
        <c:crosses val="autoZero"/>
        <c:auto val="1"/>
        <c:lblAlgn val="ctr"/>
        <c:lblOffset val="100"/>
        <c:noMultiLvlLbl val="0"/>
      </c:catAx>
      <c:valAx>
        <c:axId val="2039893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3989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'Historical trend ass. Est_visua'!$A$368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'Historical trend ass. Est_visua'!$B$367:$M$367</c:f>
              <c:strCach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strCache>
            </c:strRef>
          </c:cat>
          <c:val>
            <c:numRef>
              <c:f>'Historical trend ass. Est_visua'!$B$368:$M$368</c:f>
              <c:numCache>
                <c:formatCode>0</c:formatCode>
                <c:ptCount val="12"/>
                <c:pt idx="0">
                  <c:v>628565</c:v>
                </c:pt>
                <c:pt idx="1">
                  <c:v>652950</c:v>
                </c:pt>
                <c:pt idx="2">
                  <c:v>676596</c:v>
                </c:pt>
                <c:pt idx="3">
                  <c:v>703151</c:v>
                </c:pt>
                <c:pt idx="4">
                  <c:v>725944</c:v>
                </c:pt>
                <c:pt idx="5">
                  <c:v>746464</c:v>
                </c:pt>
                <c:pt idx="6">
                  <c:v>794926</c:v>
                </c:pt>
                <c:pt idx="7">
                  <c:v>808689</c:v>
                </c:pt>
                <c:pt idx="8">
                  <c:v>825936</c:v>
                </c:pt>
                <c:pt idx="9">
                  <c:v>849294</c:v>
                </c:pt>
                <c:pt idx="10">
                  <c:v>865773</c:v>
                </c:pt>
                <c:pt idx="11">
                  <c:v>869666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43-4A68-B50F-0CBCF3143355}"/>
            </c:ext>
          </c:extLst>
        </c:ser>
        <c:ser>
          <c:idx val="1"/>
          <c:order val="1"/>
          <c:tx>
            <c:strRef>
              <c:f>'Historical trend ass. Est_visua'!$A$369</c:f>
              <c:strCache>
                <c:ptCount val="1"/>
                <c:pt idx="0">
                  <c:v>Electricity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'Historical trend ass. Est_visua'!$B$367:$M$367</c:f>
              <c:strCach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strCache>
            </c:strRef>
          </c:cat>
          <c:val>
            <c:numRef>
              <c:f>'Historical trend ass. Est_visua'!$B$369:$M$369</c:f>
              <c:numCache>
                <c:formatCode>0</c:formatCode>
                <c:ptCount val="12"/>
                <c:pt idx="0">
                  <c:v>708</c:v>
                </c:pt>
                <c:pt idx="1">
                  <c:v>1067</c:v>
                </c:pt>
                <c:pt idx="2">
                  <c:v>1116</c:v>
                </c:pt>
                <c:pt idx="3">
                  <c:v>1156</c:v>
                </c:pt>
                <c:pt idx="4">
                  <c:v>1191</c:v>
                </c:pt>
                <c:pt idx="5">
                  <c:v>1254</c:v>
                </c:pt>
                <c:pt idx="6">
                  <c:v>1382</c:v>
                </c:pt>
                <c:pt idx="7">
                  <c:v>1773</c:v>
                </c:pt>
                <c:pt idx="8">
                  <c:v>2456</c:v>
                </c:pt>
                <c:pt idx="9">
                  <c:v>3461</c:v>
                </c:pt>
                <c:pt idx="10">
                  <c:v>5796</c:v>
                </c:pt>
                <c:pt idx="11">
                  <c:v>8111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43-4A68-B50F-0CBCF3143355}"/>
            </c:ext>
          </c:extLst>
        </c:ser>
        <c:ser>
          <c:idx val="2"/>
          <c:order val="2"/>
          <c:tx>
            <c:strRef>
              <c:f>'Historical trend ass. Est_visua'!$A$370</c:f>
              <c:strCache>
                <c:ptCount val="1"/>
                <c:pt idx="0">
                  <c:v>Electric hybrid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'Historical trend ass. Est_visua'!$B$367:$M$367</c:f>
              <c:strCach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strCache>
            </c:strRef>
          </c:cat>
          <c:val>
            <c:numRef>
              <c:f>'Historical trend ass. Est_visua'!$B$370:$M$370</c:f>
              <c:numCache>
                <c:formatCode>0</c:formatCode>
                <c:ptCount val="12"/>
                <c:pt idx="0">
                  <c:v>1431</c:v>
                </c:pt>
                <c:pt idx="1">
                  <c:v>1902</c:v>
                </c:pt>
                <c:pt idx="2">
                  <c:v>2426</c:v>
                </c:pt>
                <c:pt idx="3">
                  <c:v>3402</c:v>
                </c:pt>
                <c:pt idx="4">
                  <c:v>4690</c:v>
                </c:pt>
                <c:pt idx="5">
                  <c:v>6344</c:v>
                </c:pt>
                <c:pt idx="6">
                  <c:v>9397</c:v>
                </c:pt>
                <c:pt idx="7">
                  <c:v>12683</c:v>
                </c:pt>
                <c:pt idx="8">
                  <c:v>19953</c:v>
                </c:pt>
                <c:pt idx="9">
                  <c:v>28474</c:v>
                </c:pt>
                <c:pt idx="10">
                  <c:v>39216</c:v>
                </c:pt>
                <c:pt idx="11">
                  <c:v>55058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F43-4A68-B50F-0CBCF31433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45451119"/>
        <c:axId val="1545448239"/>
      </c:barChart>
      <c:catAx>
        <c:axId val="15454511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5448239"/>
        <c:crossesAt val="0"/>
        <c:auto val="1"/>
        <c:lblAlgn val="ctr"/>
        <c:lblOffset val="100"/>
        <c:noMultiLvlLbl val="0"/>
      </c:catAx>
      <c:valAx>
        <c:axId val="1545448239"/>
        <c:scaling>
          <c:orientation val="minMax"/>
          <c:max val="9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No. of cars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54511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'Historical trend ass. Est_visua'!$A$375</c:f>
              <c:strCache>
                <c:ptCount val="1"/>
                <c:pt idx="0">
                  <c:v>% of electricity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'Historical trend ass. Est_visua'!$B$374:$M$374</c:f>
              <c:strCach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strCache>
            </c:strRef>
          </c:cat>
          <c:val>
            <c:numRef>
              <c:f>'Historical trend ass. Est_visua'!$B$375:$M$375</c:f>
              <c:numCache>
                <c:formatCode>0.0%</c:formatCode>
                <c:ptCount val="12"/>
                <c:pt idx="0">
                  <c:v>1.1263751561095511E-3</c:v>
                </c:pt>
                <c:pt idx="1">
                  <c:v>1.6341220614135845E-3</c:v>
                </c:pt>
                <c:pt idx="2">
                  <c:v>1.6494333398364754E-3</c:v>
                </c:pt>
                <c:pt idx="3">
                  <c:v>1.6440280963832803E-3</c:v>
                </c:pt>
                <c:pt idx="4">
                  <c:v>1.6406224171561443E-3</c:v>
                </c:pt>
                <c:pt idx="5">
                  <c:v>1.6799202640716765E-3</c:v>
                </c:pt>
                <c:pt idx="6">
                  <c:v>1.7385266049921627E-3</c:v>
                </c:pt>
                <c:pt idx="7">
                  <c:v>2.1924373894043323E-3</c:v>
                </c:pt>
                <c:pt idx="8">
                  <c:v>2.9735960171248135E-3</c:v>
                </c:pt>
                <c:pt idx="9">
                  <c:v>4.0751494770950927E-3</c:v>
                </c:pt>
                <c:pt idx="10">
                  <c:v>6.6945954655550591E-3</c:v>
                </c:pt>
                <c:pt idx="11">
                  <c:v>9.3265690506470298E-3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2A-48CE-9E81-098B56F64EBE}"/>
            </c:ext>
          </c:extLst>
        </c:ser>
        <c:ser>
          <c:idx val="1"/>
          <c:order val="1"/>
          <c:tx>
            <c:strRef>
              <c:f>'Historical trend ass. Est_visua'!$A$376</c:f>
              <c:strCache>
                <c:ptCount val="1"/>
                <c:pt idx="0">
                  <c:v>% of electric hybrid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'Historical trend ass. Est_visua'!$B$374:$M$374</c:f>
              <c:strCach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strCache>
            </c:strRef>
          </c:cat>
          <c:val>
            <c:numRef>
              <c:f>'Historical trend ass. Est_visua'!$B$376:$M$376</c:f>
              <c:numCache>
                <c:formatCode>0.0%</c:formatCode>
                <c:ptCount val="12"/>
                <c:pt idx="0">
                  <c:v>2.2766141926451522E-3</c:v>
                </c:pt>
                <c:pt idx="1">
                  <c:v>2.9129336090052836E-3</c:v>
                </c:pt>
                <c:pt idx="2">
                  <c:v>3.5855961312215856E-3</c:v>
                </c:pt>
                <c:pt idx="3">
                  <c:v>4.8382210933355712E-3</c:v>
                </c:pt>
                <c:pt idx="4">
                  <c:v>6.4605534311186538E-3</c:v>
                </c:pt>
                <c:pt idx="5">
                  <c:v>8.4987353710292788E-3</c:v>
                </c:pt>
                <c:pt idx="6">
                  <c:v>1.1821226126708649E-2</c:v>
                </c:pt>
                <c:pt idx="7">
                  <c:v>1.5683408578575943E-2</c:v>
                </c:pt>
                <c:pt idx="8">
                  <c:v>2.415804614401116E-2</c:v>
                </c:pt>
                <c:pt idx="9">
                  <c:v>3.3526670387404124E-2</c:v>
                </c:pt>
                <c:pt idx="10">
                  <c:v>4.5295937849759695E-2</c:v>
                </c:pt>
                <c:pt idx="11">
                  <c:v>6.3309362444892631E-2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2A-48CE-9E81-098B56F64E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1253439"/>
        <c:axId val="1281259679"/>
      </c:lineChart>
      <c:catAx>
        <c:axId val="12812534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1259679"/>
        <c:crosses val="autoZero"/>
        <c:auto val="1"/>
        <c:lblAlgn val="ctr"/>
        <c:lblOffset val="100"/>
        <c:noMultiLvlLbl val="0"/>
      </c:catAx>
      <c:valAx>
        <c:axId val="1281259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12534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2"/>
          <c:order val="0"/>
          <c:tx>
            <c:strRef>
              <c:f>'Historical trend ass. Est_visua'!$C$299</c:f>
              <c:strCache>
                <c:ptCount val="1"/>
                <c:pt idx="0">
                  <c:v>Rail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'Historical trend ass. Est_visua'!$A$300:$A$324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Est_visua'!$C$300:$C$324</c:f>
              <c:numCache>
                <c:formatCode>General</c:formatCode>
                <c:ptCount val="25"/>
                <c:pt idx="0">
                  <c:v>30</c:v>
                </c:pt>
                <c:pt idx="1">
                  <c:v>30</c:v>
                </c:pt>
                <c:pt idx="2">
                  <c:v>31</c:v>
                </c:pt>
                <c:pt idx="3">
                  <c:v>33</c:v>
                </c:pt>
                <c:pt idx="4">
                  <c:v>36</c:v>
                </c:pt>
                <c:pt idx="5">
                  <c:v>26</c:v>
                </c:pt>
                <c:pt idx="6">
                  <c:v>26</c:v>
                </c:pt>
                <c:pt idx="7">
                  <c:v>24</c:v>
                </c:pt>
                <c:pt idx="8">
                  <c:v>24</c:v>
                </c:pt>
                <c:pt idx="9">
                  <c:v>14</c:v>
                </c:pt>
                <c:pt idx="10">
                  <c:v>19</c:v>
                </c:pt>
                <c:pt idx="11">
                  <c:v>16</c:v>
                </c:pt>
                <c:pt idx="12">
                  <c:v>17</c:v>
                </c:pt>
                <c:pt idx="13">
                  <c:v>15</c:v>
                </c:pt>
                <c:pt idx="14">
                  <c:v>16</c:v>
                </c:pt>
                <c:pt idx="15">
                  <c:v>15</c:v>
                </c:pt>
                <c:pt idx="16">
                  <c:v>14</c:v>
                </c:pt>
                <c:pt idx="17">
                  <c:v>16</c:v>
                </c:pt>
                <c:pt idx="18">
                  <c:v>12</c:v>
                </c:pt>
                <c:pt idx="19">
                  <c:v>15</c:v>
                </c:pt>
                <c:pt idx="20">
                  <c:v>16</c:v>
                </c:pt>
                <c:pt idx="21">
                  <c:v>13</c:v>
                </c:pt>
                <c:pt idx="22">
                  <c:v>13</c:v>
                </c:pt>
                <c:pt idx="23">
                  <c:v>23</c:v>
                </c:pt>
                <c:pt idx="24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3E-4DD3-8A71-49D8778C3AEC}"/>
            </c:ext>
          </c:extLst>
        </c:ser>
        <c:ser>
          <c:idx val="3"/>
          <c:order val="1"/>
          <c:tx>
            <c:strRef>
              <c:f>'Historical trend ass. Est_visua'!$D$299</c:f>
              <c:strCache>
                <c:ptCount val="1"/>
                <c:pt idx="0">
                  <c:v>Road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'Historical trend ass. Est_visua'!$A$300:$A$324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Est_visua'!$D$300:$D$324</c:f>
              <c:numCache>
                <c:formatCode>General</c:formatCode>
                <c:ptCount val="25"/>
                <c:pt idx="0">
                  <c:v>57</c:v>
                </c:pt>
                <c:pt idx="1">
                  <c:v>51</c:v>
                </c:pt>
                <c:pt idx="2">
                  <c:v>61</c:v>
                </c:pt>
                <c:pt idx="3">
                  <c:v>61</c:v>
                </c:pt>
                <c:pt idx="4">
                  <c:v>40</c:v>
                </c:pt>
                <c:pt idx="5">
                  <c:v>73</c:v>
                </c:pt>
                <c:pt idx="6">
                  <c:v>54</c:v>
                </c:pt>
                <c:pt idx="7">
                  <c:v>47</c:v>
                </c:pt>
                <c:pt idx="8">
                  <c:v>51</c:v>
                </c:pt>
                <c:pt idx="9">
                  <c:v>71</c:v>
                </c:pt>
                <c:pt idx="10">
                  <c:v>67</c:v>
                </c:pt>
                <c:pt idx="11">
                  <c:v>60</c:v>
                </c:pt>
                <c:pt idx="12">
                  <c:v>58</c:v>
                </c:pt>
                <c:pt idx="13">
                  <c:v>46</c:v>
                </c:pt>
                <c:pt idx="14">
                  <c:v>33</c:v>
                </c:pt>
                <c:pt idx="15">
                  <c:v>31</c:v>
                </c:pt>
                <c:pt idx="16">
                  <c:v>33</c:v>
                </c:pt>
                <c:pt idx="17">
                  <c:v>29</c:v>
                </c:pt>
                <c:pt idx="18">
                  <c:v>30</c:v>
                </c:pt>
                <c:pt idx="19">
                  <c:v>39</c:v>
                </c:pt>
                <c:pt idx="20">
                  <c:v>49</c:v>
                </c:pt>
                <c:pt idx="21">
                  <c:v>17</c:v>
                </c:pt>
                <c:pt idx="22">
                  <c:v>20</c:v>
                </c:pt>
                <c:pt idx="23">
                  <c:v>36</c:v>
                </c:pt>
                <c:pt idx="24">
                  <c:v>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3E-4DD3-8A71-49D8778C3AEC}"/>
            </c:ext>
          </c:extLst>
        </c:ser>
        <c:ser>
          <c:idx val="4"/>
          <c:order val="2"/>
          <c:tx>
            <c:strRef>
              <c:f>'Historical trend ass. Est_visua'!$E$299</c:f>
              <c:strCache>
                <c:ptCount val="1"/>
                <c:pt idx="0">
                  <c:v>Domestic navigation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'Historical trend ass. Est_visua'!$A$300:$A$324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Est_visua'!$E$300:$E$324</c:f>
              <c:numCache>
                <c:formatCode>General</c:formatCode>
                <c:ptCount val="25"/>
                <c:pt idx="0">
                  <c:v>3</c:v>
                </c:pt>
                <c:pt idx="1">
                  <c:v>2</c:v>
                </c:pt>
                <c:pt idx="2">
                  <c:v>3</c:v>
                </c:pt>
                <c:pt idx="3">
                  <c:v>2</c:v>
                </c:pt>
                <c:pt idx="4">
                  <c:v>2</c:v>
                </c:pt>
                <c:pt idx="5">
                  <c:v>3</c:v>
                </c:pt>
                <c:pt idx="6">
                  <c:v>3</c:v>
                </c:pt>
                <c:pt idx="7">
                  <c:v>4</c:v>
                </c:pt>
                <c:pt idx="8">
                  <c:v>4</c:v>
                </c:pt>
                <c:pt idx="9">
                  <c:v>5</c:v>
                </c:pt>
                <c:pt idx="10">
                  <c:v>4</c:v>
                </c:pt>
                <c:pt idx="11">
                  <c:v>4</c:v>
                </c:pt>
                <c:pt idx="12">
                  <c:v>3</c:v>
                </c:pt>
                <c:pt idx="13">
                  <c:v>2</c:v>
                </c:pt>
                <c:pt idx="14">
                  <c:v>2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2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93E-4DD3-8A71-49D8778C3AEC}"/>
            </c:ext>
          </c:extLst>
        </c:ser>
        <c:ser>
          <c:idx val="5"/>
          <c:order val="3"/>
          <c:tx>
            <c:strRef>
              <c:f>'Historical trend ass. Est_visua'!$F$299</c:f>
              <c:strCache>
                <c:ptCount val="1"/>
                <c:pt idx="0">
                  <c:v>Domestic aviation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'Historical trend ass. Est_visua'!$A$300:$A$324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Est_visua'!$F$300:$F$324</c:f>
              <c:numCache>
                <c:formatCode>General</c:formatCode>
                <c:ptCount val="25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2</c:v>
                </c:pt>
                <c:pt idx="8">
                  <c:v>2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93E-4DD3-8A71-49D8778C3A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47311503"/>
        <c:axId val="1947295183"/>
      </c:barChart>
      <c:catAx>
        <c:axId val="1947311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7295183"/>
        <c:crosses val="autoZero"/>
        <c:auto val="1"/>
        <c:lblAlgn val="ctr"/>
        <c:lblOffset val="100"/>
        <c:noMultiLvlLbl val="0"/>
      </c:catAx>
      <c:valAx>
        <c:axId val="19472951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7311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Number of cars Vs</a:t>
            </a:r>
            <a:r>
              <a:rPr lang="en-US" baseline="0"/>
              <a:t> Electric &amp; Hybrid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'Historical trend ass. Est_visua'!$A$368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'Historical trend ass. Est_visua'!$B$367:$M$367</c:f>
              <c:strCach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strCache>
            </c:strRef>
          </c:cat>
          <c:val>
            <c:numRef>
              <c:f>'Historical trend ass. Est_visua'!$B$368:$M$368</c:f>
              <c:numCache>
                <c:formatCode>0</c:formatCode>
                <c:ptCount val="12"/>
                <c:pt idx="0">
                  <c:v>628565</c:v>
                </c:pt>
                <c:pt idx="1">
                  <c:v>652950</c:v>
                </c:pt>
                <c:pt idx="2">
                  <c:v>676596</c:v>
                </c:pt>
                <c:pt idx="3">
                  <c:v>703151</c:v>
                </c:pt>
                <c:pt idx="4">
                  <c:v>725944</c:v>
                </c:pt>
                <c:pt idx="5">
                  <c:v>746464</c:v>
                </c:pt>
                <c:pt idx="6">
                  <c:v>794926</c:v>
                </c:pt>
                <c:pt idx="7">
                  <c:v>808689</c:v>
                </c:pt>
                <c:pt idx="8">
                  <c:v>825936</c:v>
                </c:pt>
                <c:pt idx="9">
                  <c:v>849294</c:v>
                </c:pt>
                <c:pt idx="10">
                  <c:v>865773</c:v>
                </c:pt>
                <c:pt idx="11">
                  <c:v>869666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6D-47D4-BE7F-48D61C374094}"/>
            </c:ext>
          </c:extLst>
        </c:ser>
        <c:ser>
          <c:idx val="1"/>
          <c:order val="1"/>
          <c:tx>
            <c:strRef>
              <c:f>'Historical trend ass. Est_visua'!$A$369</c:f>
              <c:strCache>
                <c:ptCount val="1"/>
                <c:pt idx="0">
                  <c:v>Electricity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'Historical trend ass. Est_visua'!$B$367:$M$367</c:f>
              <c:strCach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strCache>
            </c:strRef>
          </c:cat>
          <c:val>
            <c:numRef>
              <c:f>'Historical trend ass. Est_visua'!$B$369:$M$369</c:f>
              <c:numCache>
                <c:formatCode>0</c:formatCode>
                <c:ptCount val="12"/>
                <c:pt idx="0">
                  <c:v>708</c:v>
                </c:pt>
                <c:pt idx="1">
                  <c:v>1067</c:v>
                </c:pt>
                <c:pt idx="2">
                  <c:v>1116</c:v>
                </c:pt>
                <c:pt idx="3">
                  <c:v>1156</c:v>
                </c:pt>
                <c:pt idx="4">
                  <c:v>1191</c:v>
                </c:pt>
                <c:pt idx="5">
                  <c:v>1254</c:v>
                </c:pt>
                <c:pt idx="6">
                  <c:v>1382</c:v>
                </c:pt>
                <c:pt idx="7">
                  <c:v>1773</c:v>
                </c:pt>
                <c:pt idx="8">
                  <c:v>2456</c:v>
                </c:pt>
                <c:pt idx="9">
                  <c:v>3461</c:v>
                </c:pt>
                <c:pt idx="10">
                  <c:v>5796</c:v>
                </c:pt>
                <c:pt idx="11">
                  <c:v>8111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6D-47D4-BE7F-48D61C374094}"/>
            </c:ext>
          </c:extLst>
        </c:ser>
        <c:ser>
          <c:idx val="2"/>
          <c:order val="2"/>
          <c:tx>
            <c:strRef>
              <c:f>'Historical trend ass. Est_visua'!$A$370</c:f>
              <c:strCache>
                <c:ptCount val="1"/>
                <c:pt idx="0">
                  <c:v>Electric hybrid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'Historical trend ass. Est_visua'!$B$367:$M$367</c:f>
              <c:strCach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strCache>
            </c:strRef>
          </c:cat>
          <c:val>
            <c:numRef>
              <c:f>'Historical trend ass. Est_visua'!$B$370:$M$370</c:f>
              <c:numCache>
                <c:formatCode>0</c:formatCode>
                <c:ptCount val="12"/>
                <c:pt idx="0">
                  <c:v>1431</c:v>
                </c:pt>
                <c:pt idx="1">
                  <c:v>1902</c:v>
                </c:pt>
                <c:pt idx="2">
                  <c:v>2426</c:v>
                </c:pt>
                <c:pt idx="3">
                  <c:v>3402</c:v>
                </c:pt>
                <c:pt idx="4">
                  <c:v>4690</c:v>
                </c:pt>
                <c:pt idx="5">
                  <c:v>6344</c:v>
                </c:pt>
                <c:pt idx="6">
                  <c:v>9397</c:v>
                </c:pt>
                <c:pt idx="7">
                  <c:v>12683</c:v>
                </c:pt>
                <c:pt idx="8">
                  <c:v>19953</c:v>
                </c:pt>
                <c:pt idx="9">
                  <c:v>28474</c:v>
                </c:pt>
                <c:pt idx="10">
                  <c:v>39216</c:v>
                </c:pt>
                <c:pt idx="11">
                  <c:v>55058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16D-47D4-BE7F-48D61C3740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29860063"/>
        <c:axId val="1129866303"/>
      </c:barChart>
      <c:catAx>
        <c:axId val="11298600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29866303"/>
        <c:crosses val="autoZero"/>
        <c:auto val="1"/>
        <c:lblAlgn val="ctr"/>
        <c:lblOffset val="100"/>
        <c:noMultiLvlLbl val="0"/>
      </c:catAx>
      <c:valAx>
        <c:axId val="1129866303"/>
        <c:scaling>
          <c:orientation val="minMax"/>
          <c:max val="9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Total</a:t>
                </a:r>
                <a:r>
                  <a:rPr lang="en-US" baseline="0"/>
                  <a:t> number of cars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298600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'Historical trend ass. Est_visua'!$A$381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'Historical trend ass. Est_visua'!$B$380:$M$380</c:f>
              <c:strCach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strCache>
            </c:strRef>
          </c:cat>
          <c:val>
            <c:numRef>
              <c:f>'Historical trend ass. Est_visua'!$B$381:$M$381</c:f>
              <c:numCache>
                <c:formatCode>0</c:formatCode>
                <c:ptCount val="12"/>
                <c:pt idx="0">
                  <c:v>19690</c:v>
                </c:pt>
                <c:pt idx="1">
                  <c:v>21128</c:v>
                </c:pt>
                <c:pt idx="2">
                  <c:v>21064</c:v>
                </c:pt>
                <c:pt idx="3">
                  <c:v>23020</c:v>
                </c:pt>
                <c:pt idx="4">
                  <c:v>25621</c:v>
                </c:pt>
                <c:pt idx="5">
                  <c:v>26299</c:v>
                </c:pt>
                <c:pt idx="6">
                  <c:v>27579</c:v>
                </c:pt>
                <c:pt idx="7">
                  <c:v>19295</c:v>
                </c:pt>
                <c:pt idx="8">
                  <c:v>22610</c:v>
                </c:pt>
                <c:pt idx="9">
                  <c:v>20558</c:v>
                </c:pt>
                <c:pt idx="10">
                  <c:v>22986</c:v>
                </c:pt>
                <c:pt idx="11">
                  <c:v>25744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9C-42E6-B3BD-B06D9262074B}"/>
            </c:ext>
          </c:extLst>
        </c:ser>
        <c:ser>
          <c:idx val="1"/>
          <c:order val="1"/>
          <c:tx>
            <c:strRef>
              <c:f>'Historical trend ass. Est_visua'!$A$382</c:f>
              <c:strCache>
                <c:ptCount val="1"/>
                <c:pt idx="0">
                  <c:v>Electricity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'Historical trend ass. Est_visua'!$B$380:$M$380</c:f>
              <c:strCach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strCache>
            </c:strRef>
          </c:cat>
          <c:val>
            <c:numRef>
              <c:f>'Historical trend ass. Est_visua'!$B$382:$M$382</c:f>
              <c:numCache>
                <c:formatCode>0</c:formatCode>
                <c:ptCount val="12"/>
                <c:pt idx="0">
                  <c:v>130</c:v>
                </c:pt>
                <c:pt idx="1">
                  <c:v>331</c:v>
                </c:pt>
                <c:pt idx="2">
                  <c:v>30</c:v>
                </c:pt>
                <c:pt idx="3">
                  <c:v>32</c:v>
                </c:pt>
                <c:pt idx="4">
                  <c:v>26</c:v>
                </c:pt>
                <c:pt idx="5">
                  <c:v>83</c:v>
                </c:pt>
                <c:pt idx="6">
                  <c:v>77</c:v>
                </c:pt>
                <c:pt idx="7">
                  <c:v>344</c:v>
                </c:pt>
                <c:pt idx="8">
                  <c:v>487</c:v>
                </c:pt>
                <c:pt idx="9">
                  <c:v>693</c:v>
                </c:pt>
                <c:pt idx="10">
                  <c:v>1448</c:v>
                </c:pt>
                <c:pt idx="11">
                  <c:v>1323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9C-42E6-B3BD-B06D9262074B}"/>
            </c:ext>
          </c:extLst>
        </c:ser>
        <c:ser>
          <c:idx val="2"/>
          <c:order val="2"/>
          <c:tx>
            <c:strRef>
              <c:f>'Historical trend ass. Est_visua'!$A$383</c:f>
              <c:strCache>
                <c:ptCount val="1"/>
                <c:pt idx="0">
                  <c:v>Electric hybrid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'Historical trend ass. Est_visua'!$B$380:$M$380</c:f>
              <c:strCach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strCache>
            </c:strRef>
          </c:cat>
          <c:val>
            <c:numRef>
              <c:f>'Historical trend ass. Est_visua'!$B$383:$M$383</c:f>
              <c:numCache>
                <c:formatCode>0</c:formatCode>
                <c:ptCount val="12"/>
                <c:pt idx="0">
                  <c:v>195</c:v>
                </c:pt>
                <c:pt idx="1">
                  <c:v>311</c:v>
                </c:pt>
                <c:pt idx="2">
                  <c:v>351</c:v>
                </c:pt>
                <c:pt idx="3">
                  <c:v>772</c:v>
                </c:pt>
                <c:pt idx="4">
                  <c:v>1187</c:v>
                </c:pt>
                <c:pt idx="5">
                  <c:v>1585</c:v>
                </c:pt>
                <c:pt idx="6">
                  <c:v>2816</c:v>
                </c:pt>
                <c:pt idx="7">
                  <c:v>2842</c:v>
                </c:pt>
                <c:pt idx="8">
                  <c:v>6589</c:v>
                </c:pt>
                <c:pt idx="9">
                  <c:v>7215</c:v>
                </c:pt>
                <c:pt idx="10">
                  <c:v>9690</c:v>
                </c:pt>
                <c:pt idx="11">
                  <c:v>12983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B9C-42E6-B3BD-B06D926207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2302495"/>
        <c:axId val="272305855"/>
      </c:barChart>
      <c:catAx>
        <c:axId val="2723024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2305855"/>
        <c:crosses val="autoZero"/>
        <c:auto val="1"/>
        <c:lblAlgn val="ctr"/>
        <c:lblOffset val="100"/>
        <c:noMultiLvlLbl val="0"/>
      </c:catAx>
      <c:valAx>
        <c:axId val="272305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No.</a:t>
                </a:r>
                <a:r>
                  <a:rPr lang="en-US" baseline="0"/>
                  <a:t> of new cars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23024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'Historical trend ass. Est_visua'!$A$388</c:f>
              <c:strCache>
                <c:ptCount val="1"/>
                <c:pt idx="0">
                  <c:v>% of electricity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'Historical trend ass. Est_visua'!$B$387:$M$387</c:f>
              <c:strCach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strCache>
            </c:strRef>
          </c:cat>
          <c:val>
            <c:numRef>
              <c:f>'Historical trend ass. Est_visua'!$B$388:$M$388</c:f>
              <c:numCache>
                <c:formatCode>0.0%</c:formatCode>
                <c:ptCount val="12"/>
                <c:pt idx="0">
                  <c:v>6.6023362112747584E-3</c:v>
                </c:pt>
                <c:pt idx="1">
                  <c:v>1.5666414237031426E-2</c:v>
                </c:pt>
                <c:pt idx="2">
                  <c:v>1.4242309153057349E-3</c:v>
                </c:pt>
                <c:pt idx="3">
                  <c:v>1.3900955690703736E-3</c:v>
                </c:pt>
                <c:pt idx="4">
                  <c:v>1.0147925529838805E-3</c:v>
                </c:pt>
                <c:pt idx="5">
                  <c:v>3.1560135366363738E-3</c:v>
                </c:pt>
                <c:pt idx="6">
                  <c:v>2.7919794046194569E-3</c:v>
                </c:pt>
                <c:pt idx="7">
                  <c:v>1.782845296708992E-2</c:v>
                </c:pt>
                <c:pt idx="8">
                  <c:v>2.1539141972578505E-2</c:v>
                </c:pt>
                <c:pt idx="9">
                  <c:v>3.3709504815643547E-2</c:v>
                </c:pt>
                <c:pt idx="10">
                  <c:v>6.2994866440442013E-2</c:v>
                </c:pt>
                <c:pt idx="11">
                  <c:v>5.1390615288999381E-2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C8-47BF-A812-8EA1566FA3F7}"/>
            </c:ext>
          </c:extLst>
        </c:ser>
        <c:ser>
          <c:idx val="1"/>
          <c:order val="1"/>
          <c:tx>
            <c:strRef>
              <c:f>'Historical trend ass. Est_visua'!$A$389</c:f>
              <c:strCache>
                <c:ptCount val="1"/>
                <c:pt idx="0">
                  <c:v>% of electric hybrid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'Historical trend ass. Est_visua'!$B$387:$M$387</c:f>
              <c:strCach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strCache>
            </c:strRef>
          </c:cat>
          <c:val>
            <c:numRef>
              <c:f>'Historical trend ass. Est_visua'!$B$389:$M$389</c:f>
              <c:numCache>
                <c:formatCode>0.0%</c:formatCode>
                <c:ptCount val="12"/>
                <c:pt idx="0">
                  <c:v>9.9035043169121376E-3</c:v>
                </c:pt>
                <c:pt idx="1">
                  <c:v>1.4719803104884513E-2</c:v>
                </c:pt>
                <c:pt idx="2">
                  <c:v>1.66635017090771E-2</c:v>
                </c:pt>
                <c:pt idx="3">
                  <c:v>3.3536055603822765E-2</c:v>
                </c:pt>
                <c:pt idx="4">
                  <c:v>4.6329183091994845E-2</c:v>
                </c:pt>
                <c:pt idx="5">
                  <c:v>6.026845127191148E-2</c:v>
                </c:pt>
                <c:pt idx="6">
                  <c:v>0.10210667536894014</c:v>
                </c:pt>
                <c:pt idx="7">
                  <c:v>0.14729204457113243</c:v>
                </c:pt>
                <c:pt idx="8">
                  <c:v>0.29141972578505088</c:v>
                </c:pt>
                <c:pt idx="9">
                  <c:v>0.35095826442260919</c:v>
                </c:pt>
                <c:pt idx="10">
                  <c:v>0.42156095014356565</c:v>
                </c:pt>
                <c:pt idx="11">
                  <c:v>0.50431168427594775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AC8-47BF-A812-8EA1566FA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8018159"/>
        <c:axId val="298026319"/>
      </c:lineChart>
      <c:catAx>
        <c:axId val="2980181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8026319"/>
        <c:crosses val="autoZero"/>
        <c:auto val="1"/>
        <c:lblAlgn val="ctr"/>
        <c:lblOffset val="100"/>
        <c:noMultiLvlLbl val="0"/>
      </c:catAx>
      <c:valAx>
        <c:axId val="2980263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80181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0"/>
          <c:tx>
            <c:strRef>
              <c:f>'Historical trend ass. Lat_visu'!$A$101:$A$102</c:f>
              <c:strCache>
                <c:ptCount val="1"/>
                <c:pt idx="0">
                  <c:v>Total Gross electricity production, GWh</c:v>
                </c:pt>
              </c:strCache>
            </c:strRef>
          </c:tx>
          <c:spPr>
            <a:solidFill>
              <a:schemeClr val="accent2"/>
            </a:solidFill>
            <a:ln w="25400">
              <a:noFill/>
            </a:ln>
            <a:effectLst/>
          </c:spPr>
          <c:cat>
            <c:strRef>
              <c:f>'Historical trend ass. Lat_visu'!$B$101:$HU$101</c:f>
              <c:strCache>
                <c:ptCount val="228"/>
                <c:pt idx="0">
                  <c:v>2006 January</c:v>
                </c:pt>
                <c:pt idx="1">
                  <c:v>2006 February</c:v>
                </c:pt>
                <c:pt idx="2">
                  <c:v>2006 March</c:v>
                </c:pt>
                <c:pt idx="3">
                  <c:v>2006 April</c:v>
                </c:pt>
                <c:pt idx="4">
                  <c:v>2006 May</c:v>
                </c:pt>
                <c:pt idx="5">
                  <c:v>2006 June</c:v>
                </c:pt>
                <c:pt idx="6">
                  <c:v>2006 July</c:v>
                </c:pt>
                <c:pt idx="7">
                  <c:v>2006 August</c:v>
                </c:pt>
                <c:pt idx="8">
                  <c:v>2006 September</c:v>
                </c:pt>
                <c:pt idx="9">
                  <c:v>2006 October</c:v>
                </c:pt>
                <c:pt idx="10">
                  <c:v>2006 November</c:v>
                </c:pt>
                <c:pt idx="11">
                  <c:v>2006 December</c:v>
                </c:pt>
                <c:pt idx="12">
                  <c:v>2007 January</c:v>
                </c:pt>
                <c:pt idx="13">
                  <c:v>2007 February</c:v>
                </c:pt>
                <c:pt idx="14">
                  <c:v>2007 March</c:v>
                </c:pt>
                <c:pt idx="15">
                  <c:v>2007 April</c:v>
                </c:pt>
                <c:pt idx="16">
                  <c:v>2007 May</c:v>
                </c:pt>
                <c:pt idx="17">
                  <c:v>2007 June</c:v>
                </c:pt>
                <c:pt idx="18">
                  <c:v>2007 July</c:v>
                </c:pt>
                <c:pt idx="19">
                  <c:v>2007 August</c:v>
                </c:pt>
                <c:pt idx="20">
                  <c:v>2007 September</c:v>
                </c:pt>
                <c:pt idx="21">
                  <c:v>2007 October</c:v>
                </c:pt>
                <c:pt idx="22">
                  <c:v>2007 November</c:v>
                </c:pt>
                <c:pt idx="23">
                  <c:v>2007 December</c:v>
                </c:pt>
                <c:pt idx="24">
                  <c:v>2008 January</c:v>
                </c:pt>
                <c:pt idx="25">
                  <c:v>2008 February</c:v>
                </c:pt>
                <c:pt idx="26">
                  <c:v>2008 March</c:v>
                </c:pt>
                <c:pt idx="27">
                  <c:v>2008 April</c:v>
                </c:pt>
                <c:pt idx="28">
                  <c:v>2008 May</c:v>
                </c:pt>
                <c:pt idx="29">
                  <c:v>2008 June</c:v>
                </c:pt>
                <c:pt idx="30">
                  <c:v>2008 July</c:v>
                </c:pt>
                <c:pt idx="31">
                  <c:v>2008 August</c:v>
                </c:pt>
                <c:pt idx="32">
                  <c:v>2008 September</c:v>
                </c:pt>
                <c:pt idx="33">
                  <c:v>2008 October</c:v>
                </c:pt>
                <c:pt idx="34">
                  <c:v>2008 November</c:v>
                </c:pt>
                <c:pt idx="35">
                  <c:v>2008 December</c:v>
                </c:pt>
                <c:pt idx="36">
                  <c:v>2009 January</c:v>
                </c:pt>
                <c:pt idx="37">
                  <c:v>2009 February</c:v>
                </c:pt>
                <c:pt idx="38">
                  <c:v>2009 March</c:v>
                </c:pt>
                <c:pt idx="39">
                  <c:v>2009 April</c:v>
                </c:pt>
                <c:pt idx="40">
                  <c:v>2009 May</c:v>
                </c:pt>
                <c:pt idx="41">
                  <c:v>2009 June</c:v>
                </c:pt>
                <c:pt idx="42">
                  <c:v>2009 July</c:v>
                </c:pt>
                <c:pt idx="43">
                  <c:v>2009 August</c:v>
                </c:pt>
                <c:pt idx="44">
                  <c:v>2009 September</c:v>
                </c:pt>
                <c:pt idx="45">
                  <c:v>2009 October</c:v>
                </c:pt>
                <c:pt idx="46">
                  <c:v>2009 November</c:v>
                </c:pt>
                <c:pt idx="47">
                  <c:v>2009 December</c:v>
                </c:pt>
                <c:pt idx="48">
                  <c:v>2010 January</c:v>
                </c:pt>
                <c:pt idx="49">
                  <c:v>2010 February</c:v>
                </c:pt>
                <c:pt idx="50">
                  <c:v>2010 March</c:v>
                </c:pt>
                <c:pt idx="51">
                  <c:v>2010 April</c:v>
                </c:pt>
                <c:pt idx="52">
                  <c:v>2010 May</c:v>
                </c:pt>
                <c:pt idx="53">
                  <c:v>2010 June</c:v>
                </c:pt>
                <c:pt idx="54">
                  <c:v>2010 July</c:v>
                </c:pt>
                <c:pt idx="55">
                  <c:v>2010 August</c:v>
                </c:pt>
                <c:pt idx="56">
                  <c:v>2010 September</c:v>
                </c:pt>
                <c:pt idx="57">
                  <c:v>2010 October</c:v>
                </c:pt>
                <c:pt idx="58">
                  <c:v>2010 November</c:v>
                </c:pt>
                <c:pt idx="59">
                  <c:v>2010 December</c:v>
                </c:pt>
                <c:pt idx="60">
                  <c:v>2011 January</c:v>
                </c:pt>
                <c:pt idx="61">
                  <c:v>2011 February</c:v>
                </c:pt>
                <c:pt idx="62">
                  <c:v>2011 March</c:v>
                </c:pt>
                <c:pt idx="63">
                  <c:v>2011 April</c:v>
                </c:pt>
                <c:pt idx="64">
                  <c:v>2011 May</c:v>
                </c:pt>
                <c:pt idx="65">
                  <c:v>2011 June</c:v>
                </c:pt>
                <c:pt idx="66">
                  <c:v>2011 July</c:v>
                </c:pt>
                <c:pt idx="67">
                  <c:v>2011 August</c:v>
                </c:pt>
                <c:pt idx="68">
                  <c:v>2011 September</c:v>
                </c:pt>
                <c:pt idx="69">
                  <c:v>2011 October</c:v>
                </c:pt>
                <c:pt idx="70">
                  <c:v>2011 November</c:v>
                </c:pt>
                <c:pt idx="71">
                  <c:v>2011 December</c:v>
                </c:pt>
                <c:pt idx="72">
                  <c:v>2012 January</c:v>
                </c:pt>
                <c:pt idx="73">
                  <c:v>2012 February</c:v>
                </c:pt>
                <c:pt idx="74">
                  <c:v>2012 March</c:v>
                </c:pt>
                <c:pt idx="75">
                  <c:v>2012 April</c:v>
                </c:pt>
                <c:pt idx="76">
                  <c:v>2012 May</c:v>
                </c:pt>
                <c:pt idx="77">
                  <c:v>2012 June</c:v>
                </c:pt>
                <c:pt idx="78">
                  <c:v>2012 July</c:v>
                </c:pt>
                <c:pt idx="79">
                  <c:v>2012 August</c:v>
                </c:pt>
                <c:pt idx="80">
                  <c:v>2012 September</c:v>
                </c:pt>
                <c:pt idx="81">
                  <c:v>2012 October</c:v>
                </c:pt>
                <c:pt idx="82">
                  <c:v>2012 November</c:v>
                </c:pt>
                <c:pt idx="83">
                  <c:v>2012 December</c:v>
                </c:pt>
                <c:pt idx="84">
                  <c:v>2013 January</c:v>
                </c:pt>
                <c:pt idx="85">
                  <c:v>2013 February</c:v>
                </c:pt>
                <c:pt idx="86">
                  <c:v>2013 March</c:v>
                </c:pt>
                <c:pt idx="87">
                  <c:v>2013 April</c:v>
                </c:pt>
                <c:pt idx="88">
                  <c:v>2013 May</c:v>
                </c:pt>
                <c:pt idx="89">
                  <c:v>2013 June</c:v>
                </c:pt>
                <c:pt idx="90">
                  <c:v>2013 July</c:v>
                </c:pt>
                <c:pt idx="91">
                  <c:v>2013 August</c:v>
                </c:pt>
                <c:pt idx="92">
                  <c:v>2013 September</c:v>
                </c:pt>
                <c:pt idx="93">
                  <c:v>2013 October</c:v>
                </c:pt>
                <c:pt idx="94">
                  <c:v>2013 November</c:v>
                </c:pt>
                <c:pt idx="95">
                  <c:v>2013 December</c:v>
                </c:pt>
                <c:pt idx="96">
                  <c:v>2014 January</c:v>
                </c:pt>
                <c:pt idx="97">
                  <c:v>2014 February</c:v>
                </c:pt>
                <c:pt idx="98">
                  <c:v>2014 March</c:v>
                </c:pt>
                <c:pt idx="99">
                  <c:v>2014 April</c:v>
                </c:pt>
                <c:pt idx="100">
                  <c:v>2014 May</c:v>
                </c:pt>
                <c:pt idx="101">
                  <c:v>2014 June</c:v>
                </c:pt>
                <c:pt idx="102">
                  <c:v>2014 July</c:v>
                </c:pt>
                <c:pt idx="103">
                  <c:v>2014 August</c:v>
                </c:pt>
                <c:pt idx="104">
                  <c:v>2014 September</c:v>
                </c:pt>
                <c:pt idx="105">
                  <c:v>2014 October</c:v>
                </c:pt>
                <c:pt idx="106">
                  <c:v>2014 November</c:v>
                </c:pt>
                <c:pt idx="107">
                  <c:v>2014 December</c:v>
                </c:pt>
                <c:pt idx="108">
                  <c:v>2015 January</c:v>
                </c:pt>
                <c:pt idx="109">
                  <c:v>2015 February</c:v>
                </c:pt>
                <c:pt idx="110">
                  <c:v>2015 March</c:v>
                </c:pt>
                <c:pt idx="111">
                  <c:v>2015 April</c:v>
                </c:pt>
                <c:pt idx="112">
                  <c:v>2015 May</c:v>
                </c:pt>
                <c:pt idx="113">
                  <c:v>2015 June</c:v>
                </c:pt>
                <c:pt idx="114">
                  <c:v>2015 July</c:v>
                </c:pt>
                <c:pt idx="115">
                  <c:v>2015 August</c:v>
                </c:pt>
                <c:pt idx="116">
                  <c:v>2015 September</c:v>
                </c:pt>
                <c:pt idx="117">
                  <c:v>2015 October</c:v>
                </c:pt>
                <c:pt idx="118">
                  <c:v>2015 November</c:v>
                </c:pt>
                <c:pt idx="119">
                  <c:v>2015 December</c:v>
                </c:pt>
                <c:pt idx="120">
                  <c:v>2016 January</c:v>
                </c:pt>
                <c:pt idx="121">
                  <c:v>2016 February</c:v>
                </c:pt>
                <c:pt idx="122">
                  <c:v>2016 March</c:v>
                </c:pt>
                <c:pt idx="123">
                  <c:v>2016 April</c:v>
                </c:pt>
                <c:pt idx="124">
                  <c:v>2016 May</c:v>
                </c:pt>
                <c:pt idx="125">
                  <c:v>2016 June</c:v>
                </c:pt>
                <c:pt idx="126">
                  <c:v>2016 July</c:v>
                </c:pt>
                <c:pt idx="127">
                  <c:v>2016 August</c:v>
                </c:pt>
                <c:pt idx="128">
                  <c:v>2016 September</c:v>
                </c:pt>
                <c:pt idx="129">
                  <c:v>2016 October</c:v>
                </c:pt>
                <c:pt idx="130">
                  <c:v>2016 November</c:v>
                </c:pt>
                <c:pt idx="131">
                  <c:v>2016 December</c:v>
                </c:pt>
                <c:pt idx="132">
                  <c:v>2017 January</c:v>
                </c:pt>
                <c:pt idx="133">
                  <c:v>2017 February</c:v>
                </c:pt>
                <c:pt idx="134">
                  <c:v>2017 March</c:v>
                </c:pt>
                <c:pt idx="135">
                  <c:v>2017 April</c:v>
                </c:pt>
                <c:pt idx="136">
                  <c:v>2017 May</c:v>
                </c:pt>
                <c:pt idx="137">
                  <c:v>2017 June</c:v>
                </c:pt>
                <c:pt idx="138">
                  <c:v>2017 July</c:v>
                </c:pt>
                <c:pt idx="139">
                  <c:v>2017 August</c:v>
                </c:pt>
                <c:pt idx="140">
                  <c:v>2017 September</c:v>
                </c:pt>
                <c:pt idx="141">
                  <c:v>2017 October</c:v>
                </c:pt>
                <c:pt idx="142">
                  <c:v>2017 November</c:v>
                </c:pt>
                <c:pt idx="143">
                  <c:v>2017 December</c:v>
                </c:pt>
                <c:pt idx="144">
                  <c:v>2018 January</c:v>
                </c:pt>
                <c:pt idx="145">
                  <c:v>2018 February</c:v>
                </c:pt>
                <c:pt idx="146">
                  <c:v>2018 March</c:v>
                </c:pt>
                <c:pt idx="147">
                  <c:v>2018 April</c:v>
                </c:pt>
                <c:pt idx="148">
                  <c:v>2018 May</c:v>
                </c:pt>
                <c:pt idx="149">
                  <c:v>2018 June</c:v>
                </c:pt>
                <c:pt idx="150">
                  <c:v>2018 July</c:v>
                </c:pt>
                <c:pt idx="151">
                  <c:v>2018 August</c:v>
                </c:pt>
                <c:pt idx="152">
                  <c:v>2018 September</c:v>
                </c:pt>
                <c:pt idx="153">
                  <c:v>2018 October</c:v>
                </c:pt>
                <c:pt idx="154">
                  <c:v>2018 November</c:v>
                </c:pt>
                <c:pt idx="155">
                  <c:v>2018 December</c:v>
                </c:pt>
                <c:pt idx="156">
                  <c:v>2019 January</c:v>
                </c:pt>
                <c:pt idx="157">
                  <c:v>2019 February</c:v>
                </c:pt>
                <c:pt idx="158">
                  <c:v>2019 March</c:v>
                </c:pt>
                <c:pt idx="159">
                  <c:v>2019 April</c:v>
                </c:pt>
                <c:pt idx="160">
                  <c:v>2019 May</c:v>
                </c:pt>
                <c:pt idx="161">
                  <c:v>2019 June</c:v>
                </c:pt>
                <c:pt idx="162">
                  <c:v>2019 July</c:v>
                </c:pt>
                <c:pt idx="163">
                  <c:v>2019 August</c:v>
                </c:pt>
                <c:pt idx="164">
                  <c:v>2019 September</c:v>
                </c:pt>
                <c:pt idx="165">
                  <c:v>2019 October</c:v>
                </c:pt>
                <c:pt idx="166">
                  <c:v>2019 November</c:v>
                </c:pt>
                <c:pt idx="167">
                  <c:v>2019 December</c:v>
                </c:pt>
                <c:pt idx="168">
                  <c:v>2020 January</c:v>
                </c:pt>
                <c:pt idx="169">
                  <c:v>2020 February</c:v>
                </c:pt>
                <c:pt idx="170">
                  <c:v>2020 March</c:v>
                </c:pt>
                <c:pt idx="171">
                  <c:v>2020 April</c:v>
                </c:pt>
                <c:pt idx="172">
                  <c:v>2020 May</c:v>
                </c:pt>
                <c:pt idx="173">
                  <c:v>2020 June</c:v>
                </c:pt>
                <c:pt idx="174">
                  <c:v>2020 July</c:v>
                </c:pt>
                <c:pt idx="175">
                  <c:v>2020 August</c:v>
                </c:pt>
                <c:pt idx="176">
                  <c:v>2020 September</c:v>
                </c:pt>
                <c:pt idx="177">
                  <c:v>2020 October</c:v>
                </c:pt>
                <c:pt idx="178">
                  <c:v>2020 November</c:v>
                </c:pt>
                <c:pt idx="179">
                  <c:v>2020 December</c:v>
                </c:pt>
                <c:pt idx="180">
                  <c:v>2021 January</c:v>
                </c:pt>
                <c:pt idx="181">
                  <c:v>2021 February</c:v>
                </c:pt>
                <c:pt idx="182">
                  <c:v>2021 March</c:v>
                </c:pt>
                <c:pt idx="183">
                  <c:v>2021 April</c:v>
                </c:pt>
                <c:pt idx="184">
                  <c:v>2021 May</c:v>
                </c:pt>
                <c:pt idx="185">
                  <c:v>2021 June</c:v>
                </c:pt>
                <c:pt idx="186">
                  <c:v>2021 July</c:v>
                </c:pt>
                <c:pt idx="187">
                  <c:v>2021 August</c:v>
                </c:pt>
                <c:pt idx="188">
                  <c:v>2021 September</c:v>
                </c:pt>
                <c:pt idx="189">
                  <c:v>2021 October</c:v>
                </c:pt>
                <c:pt idx="190">
                  <c:v>2021 November</c:v>
                </c:pt>
                <c:pt idx="191">
                  <c:v>2021 December</c:v>
                </c:pt>
                <c:pt idx="192">
                  <c:v>2022 January</c:v>
                </c:pt>
                <c:pt idx="193">
                  <c:v>2022 February</c:v>
                </c:pt>
                <c:pt idx="194">
                  <c:v>2022 March</c:v>
                </c:pt>
                <c:pt idx="195">
                  <c:v>2022 April</c:v>
                </c:pt>
                <c:pt idx="196">
                  <c:v>2022 May</c:v>
                </c:pt>
                <c:pt idx="197">
                  <c:v>2022 June</c:v>
                </c:pt>
                <c:pt idx="198">
                  <c:v>2022 July</c:v>
                </c:pt>
                <c:pt idx="199">
                  <c:v>2022 August</c:v>
                </c:pt>
                <c:pt idx="200">
                  <c:v>2022 September</c:v>
                </c:pt>
                <c:pt idx="201">
                  <c:v>2022 October</c:v>
                </c:pt>
                <c:pt idx="202">
                  <c:v>2022 November</c:v>
                </c:pt>
                <c:pt idx="203">
                  <c:v>2022 December</c:v>
                </c:pt>
                <c:pt idx="204">
                  <c:v>2023 January</c:v>
                </c:pt>
                <c:pt idx="205">
                  <c:v>2023 February</c:v>
                </c:pt>
                <c:pt idx="206">
                  <c:v>2023 March</c:v>
                </c:pt>
                <c:pt idx="207">
                  <c:v>2023 April</c:v>
                </c:pt>
                <c:pt idx="208">
                  <c:v>2023 May</c:v>
                </c:pt>
                <c:pt idx="209">
                  <c:v>2023 June</c:v>
                </c:pt>
                <c:pt idx="210">
                  <c:v>2023 July</c:v>
                </c:pt>
                <c:pt idx="211">
                  <c:v>2023 August</c:v>
                </c:pt>
                <c:pt idx="212">
                  <c:v>2023 September</c:v>
                </c:pt>
                <c:pt idx="213">
                  <c:v>2023 October</c:v>
                </c:pt>
                <c:pt idx="214">
                  <c:v>2023 November</c:v>
                </c:pt>
                <c:pt idx="215">
                  <c:v>2023 December</c:v>
                </c:pt>
                <c:pt idx="216">
                  <c:v>2024 January</c:v>
                </c:pt>
                <c:pt idx="217">
                  <c:v>2024 February</c:v>
                </c:pt>
                <c:pt idx="218">
                  <c:v>2024 March</c:v>
                </c:pt>
                <c:pt idx="219">
                  <c:v>2024 April</c:v>
                </c:pt>
                <c:pt idx="220">
                  <c:v>2024 May</c:v>
                </c:pt>
                <c:pt idx="221">
                  <c:v>2024 June</c:v>
                </c:pt>
                <c:pt idx="222">
                  <c:v>2024 July</c:v>
                </c:pt>
                <c:pt idx="223">
                  <c:v>2024 August</c:v>
                </c:pt>
                <c:pt idx="224">
                  <c:v>2024 September</c:v>
                </c:pt>
                <c:pt idx="225">
                  <c:v>2024 October</c:v>
                </c:pt>
                <c:pt idx="226">
                  <c:v>2024 November</c:v>
                </c:pt>
                <c:pt idx="227">
                  <c:v>2024 December</c:v>
                </c:pt>
              </c:strCache>
            </c:strRef>
          </c:cat>
          <c:val>
            <c:numRef>
              <c:f>'Historical trend ass. Lat_visu'!$B$102:$HU$102</c:f>
              <c:numCache>
                <c:formatCode>General</c:formatCode>
                <c:ptCount val="228"/>
                <c:pt idx="0" formatCode="#,##0">
                  <c:v>367</c:v>
                </c:pt>
                <c:pt idx="1">
                  <c:v>324</c:v>
                </c:pt>
                <c:pt idx="2">
                  <c:v>341</c:v>
                </c:pt>
                <c:pt idx="3">
                  <c:v>676</c:v>
                </c:pt>
                <c:pt idx="4">
                  <c:v>336</c:v>
                </c:pt>
                <c:pt idx="5">
                  <c:v>322</c:v>
                </c:pt>
                <c:pt idx="6">
                  <c:v>139</c:v>
                </c:pt>
                <c:pt idx="7">
                  <c:v>165</c:v>
                </c:pt>
                <c:pt idx="8">
                  <c:v>534</c:v>
                </c:pt>
                <c:pt idx="9">
                  <c:v>362</c:v>
                </c:pt>
                <c:pt idx="10">
                  <c:v>569</c:v>
                </c:pt>
                <c:pt idx="11">
                  <c:v>549</c:v>
                </c:pt>
                <c:pt idx="12">
                  <c:v>733</c:v>
                </c:pt>
                <c:pt idx="13">
                  <c:v>496</c:v>
                </c:pt>
                <c:pt idx="14">
                  <c:v>737</c:v>
                </c:pt>
                <c:pt idx="15">
                  <c:v>477</c:v>
                </c:pt>
                <c:pt idx="16">
                  <c:v>425</c:v>
                </c:pt>
                <c:pt idx="17">
                  <c:v>223</c:v>
                </c:pt>
                <c:pt idx="18">
                  <c:v>177</c:v>
                </c:pt>
                <c:pt idx="19">
                  <c:v>159</c:v>
                </c:pt>
                <c:pt idx="20">
                  <c:v>162</c:v>
                </c:pt>
                <c:pt idx="21">
                  <c:v>230</c:v>
                </c:pt>
                <c:pt idx="22">
                  <c:v>317</c:v>
                </c:pt>
                <c:pt idx="23">
                  <c:v>411</c:v>
                </c:pt>
                <c:pt idx="24">
                  <c:v>436</c:v>
                </c:pt>
                <c:pt idx="25">
                  <c:v>444</c:v>
                </c:pt>
                <c:pt idx="26">
                  <c:v>726</c:v>
                </c:pt>
                <c:pt idx="27">
                  <c:v>758</c:v>
                </c:pt>
                <c:pt idx="28">
                  <c:v>414</c:v>
                </c:pt>
                <c:pt idx="29">
                  <c:v>338</c:v>
                </c:pt>
                <c:pt idx="30">
                  <c:v>215</c:v>
                </c:pt>
                <c:pt idx="31">
                  <c:v>153</c:v>
                </c:pt>
                <c:pt idx="32">
                  <c:v>292</c:v>
                </c:pt>
                <c:pt idx="33">
                  <c:v>389</c:v>
                </c:pt>
                <c:pt idx="34">
                  <c:v>414</c:v>
                </c:pt>
                <c:pt idx="35">
                  <c:v>486</c:v>
                </c:pt>
                <c:pt idx="36">
                  <c:v>347</c:v>
                </c:pt>
                <c:pt idx="37">
                  <c:v>444</c:v>
                </c:pt>
                <c:pt idx="38">
                  <c:v>460</c:v>
                </c:pt>
                <c:pt idx="39">
                  <c:v>795</c:v>
                </c:pt>
                <c:pt idx="40">
                  <c:v>353</c:v>
                </c:pt>
                <c:pt idx="41">
                  <c:v>374</c:v>
                </c:pt>
                <c:pt idx="42">
                  <c:v>222</c:v>
                </c:pt>
                <c:pt idx="43">
                  <c:v>212</c:v>
                </c:pt>
                <c:pt idx="44">
                  <c:v>180</c:v>
                </c:pt>
                <c:pt idx="45">
                  <c:v>555</c:v>
                </c:pt>
                <c:pt idx="46">
                  <c:v>737</c:v>
                </c:pt>
                <c:pt idx="47">
                  <c:v>714</c:v>
                </c:pt>
                <c:pt idx="48">
                  <c:v>732</c:v>
                </c:pt>
                <c:pt idx="49">
                  <c:v>544</c:v>
                </c:pt>
                <c:pt idx="50">
                  <c:v>693</c:v>
                </c:pt>
                <c:pt idx="51">
                  <c:v>988</c:v>
                </c:pt>
                <c:pt idx="52">
                  <c:v>582</c:v>
                </c:pt>
                <c:pt idx="53">
                  <c:v>400</c:v>
                </c:pt>
                <c:pt idx="54">
                  <c:v>236</c:v>
                </c:pt>
                <c:pt idx="55">
                  <c:v>329</c:v>
                </c:pt>
                <c:pt idx="56">
                  <c:v>328</c:v>
                </c:pt>
                <c:pt idx="57">
                  <c:v>407</c:v>
                </c:pt>
                <c:pt idx="58">
                  <c:v>584</c:v>
                </c:pt>
                <c:pt idx="59">
                  <c:v>603</c:v>
                </c:pt>
                <c:pt idx="60">
                  <c:v>699</c:v>
                </c:pt>
                <c:pt idx="61">
                  <c:v>665</c:v>
                </c:pt>
                <c:pt idx="62">
                  <c:v>662</c:v>
                </c:pt>
                <c:pt idx="63" formatCode="#,##0">
                  <c:v>1024</c:v>
                </c:pt>
                <c:pt idx="64">
                  <c:v>637</c:v>
                </c:pt>
                <c:pt idx="65">
                  <c:v>270</c:v>
                </c:pt>
                <c:pt idx="66">
                  <c:v>251</c:v>
                </c:pt>
                <c:pt idx="67">
                  <c:v>270</c:v>
                </c:pt>
                <c:pt idx="68">
                  <c:v>201</c:v>
                </c:pt>
                <c:pt idx="69">
                  <c:v>278</c:v>
                </c:pt>
                <c:pt idx="70">
                  <c:v>409</c:v>
                </c:pt>
                <c:pt idx="71">
                  <c:v>529</c:v>
                </c:pt>
                <c:pt idx="72">
                  <c:v>510</c:v>
                </c:pt>
                <c:pt idx="73">
                  <c:v>495</c:v>
                </c:pt>
                <c:pt idx="74">
                  <c:v>542</c:v>
                </c:pt>
                <c:pt idx="75">
                  <c:v>800</c:v>
                </c:pt>
                <c:pt idx="76">
                  <c:v>617</c:v>
                </c:pt>
                <c:pt idx="77">
                  <c:v>352</c:v>
                </c:pt>
                <c:pt idx="78">
                  <c:v>352</c:v>
                </c:pt>
                <c:pt idx="79">
                  <c:v>273</c:v>
                </c:pt>
                <c:pt idx="80">
                  <c:v>221</c:v>
                </c:pt>
                <c:pt idx="81">
                  <c:v>427</c:v>
                </c:pt>
                <c:pt idx="82">
                  <c:v>579</c:v>
                </c:pt>
                <c:pt idx="83">
                  <c:v>645</c:v>
                </c:pt>
                <c:pt idx="84">
                  <c:v>629</c:v>
                </c:pt>
                <c:pt idx="85">
                  <c:v>479</c:v>
                </c:pt>
                <c:pt idx="86">
                  <c:v>466</c:v>
                </c:pt>
                <c:pt idx="87">
                  <c:v>692</c:v>
                </c:pt>
                <c:pt idx="88">
                  <c:v>699</c:v>
                </c:pt>
                <c:pt idx="89">
                  <c:v>320</c:v>
                </c:pt>
                <c:pt idx="90">
                  <c:v>290</c:v>
                </c:pt>
                <c:pt idx="91">
                  <c:v>291</c:v>
                </c:pt>
                <c:pt idx="92">
                  <c:v>316</c:v>
                </c:pt>
                <c:pt idx="93">
                  <c:v>463</c:v>
                </c:pt>
                <c:pt idx="94">
                  <c:v>437</c:v>
                </c:pt>
                <c:pt idx="95">
                  <c:v>425</c:v>
                </c:pt>
                <c:pt idx="96">
                  <c:v>566</c:v>
                </c:pt>
                <c:pt idx="97">
                  <c:v>470</c:v>
                </c:pt>
                <c:pt idx="98">
                  <c:v>499</c:v>
                </c:pt>
                <c:pt idx="99">
                  <c:v>538</c:v>
                </c:pt>
                <c:pt idx="100">
                  <c:v>408</c:v>
                </c:pt>
                <c:pt idx="101">
                  <c:v>278</c:v>
                </c:pt>
                <c:pt idx="102">
                  <c:v>289</c:v>
                </c:pt>
                <c:pt idx="103">
                  <c:v>292</c:v>
                </c:pt>
                <c:pt idx="104">
                  <c:v>236</c:v>
                </c:pt>
                <c:pt idx="105">
                  <c:v>432</c:v>
                </c:pt>
                <c:pt idx="106">
                  <c:v>423</c:v>
                </c:pt>
                <c:pt idx="107">
                  <c:v>426</c:v>
                </c:pt>
                <c:pt idx="108">
                  <c:v>445</c:v>
                </c:pt>
                <c:pt idx="109">
                  <c:v>394</c:v>
                </c:pt>
                <c:pt idx="110">
                  <c:v>611</c:v>
                </c:pt>
                <c:pt idx="111">
                  <c:v>577</c:v>
                </c:pt>
                <c:pt idx="112">
                  <c:v>398</c:v>
                </c:pt>
                <c:pt idx="113">
                  <c:v>283</c:v>
                </c:pt>
                <c:pt idx="114">
                  <c:v>309</c:v>
                </c:pt>
                <c:pt idx="115">
                  <c:v>427</c:v>
                </c:pt>
                <c:pt idx="116">
                  <c:v>344</c:v>
                </c:pt>
                <c:pt idx="117">
                  <c:v>487</c:v>
                </c:pt>
                <c:pt idx="118">
                  <c:v>576</c:v>
                </c:pt>
                <c:pt idx="119">
                  <c:v>533</c:v>
                </c:pt>
                <c:pt idx="120">
                  <c:v>649</c:v>
                </c:pt>
                <c:pt idx="121">
                  <c:v>443</c:v>
                </c:pt>
                <c:pt idx="122">
                  <c:v>577</c:v>
                </c:pt>
                <c:pt idx="123">
                  <c:v>594</c:v>
                </c:pt>
                <c:pt idx="124">
                  <c:v>525</c:v>
                </c:pt>
                <c:pt idx="125">
                  <c:v>414</c:v>
                </c:pt>
                <c:pt idx="126">
                  <c:v>331</c:v>
                </c:pt>
                <c:pt idx="127">
                  <c:v>354</c:v>
                </c:pt>
                <c:pt idx="128">
                  <c:v>267</c:v>
                </c:pt>
                <c:pt idx="129">
                  <c:v>529</c:v>
                </c:pt>
                <c:pt idx="130">
                  <c:v>816</c:v>
                </c:pt>
                <c:pt idx="131">
                  <c:v>729</c:v>
                </c:pt>
                <c:pt idx="132">
                  <c:v>741</c:v>
                </c:pt>
                <c:pt idx="133">
                  <c:v>601</c:v>
                </c:pt>
                <c:pt idx="134">
                  <c:v>949</c:v>
                </c:pt>
                <c:pt idx="135">
                  <c:v>742</c:v>
                </c:pt>
                <c:pt idx="136">
                  <c:v>580</c:v>
                </c:pt>
                <c:pt idx="137">
                  <c:v>363</c:v>
                </c:pt>
                <c:pt idx="138">
                  <c:v>362</c:v>
                </c:pt>
                <c:pt idx="139">
                  <c:v>396</c:v>
                </c:pt>
                <c:pt idx="140">
                  <c:v>533</c:v>
                </c:pt>
                <c:pt idx="141">
                  <c:v>623</c:v>
                </c:pt>
                <c:pt idx="142">
                  <c:v>728</c:v>
                </c:pt>
                <c:pt idx="143">
                  <c:v>722</c:v>
                </c:pt>
                <c:pt idx="144">
                  <c:v>881</c:v>
                </c:pt>
                <c:pt idx="145">
                  <c:v>717</c:v>
                </c:pt>
                <c:pt idx="146">
                  <c:v>727</c:v>
                </c:pt>
                <c:pt idx="147">
                  <c:v>820</c:v>
                </c:pt>
                <c:pt idx="148">
                  <c:v>432</c:v>
                </c:pt>
                <c:pt idx="149">
                  <c:v>303</c:v>
                </c:pt>
                <c:pt idx="150">
                  <c:v>377</c:v>
                </c:pt>
                <c:pt idx="151">
                  <c:v>450</c:v>
                </c:pt>
                <c:pt idx="152">
                  <c:v>381</c:v>
                </c:pt>
                <c:pt idx="153">
                  <c:v>390</c:v>
                </c:pt>
                <c:pt idx="154">
                  <c:v>494</c:v>
                </c:pt>
                <c:pt idx="155">
                  <c:v>528</c:v>
                </c:pt>
                <c:pt idx="156">
                  <c:v>599</c:v>
                </c:pt>
                <c:pt idx="157">
                  <c:v>471</c:v>
                </c:pt>
                <c:pt idx="158">
                  <c:v>686</c:v>
                </c:pt>
                <c:pt idx="159">
                  <c:v>499</c:v>
                </c:pt>
                <c:pt idx="160">
                  <c:v>421</c:v>
                </c:pt>
                <c:pt idx="161">
                  <c:v>407</c:v>
                </c:pt>
                <c:pt idx="162">
                  <c:v>357</c:v>
                </c:pt>
                <c:pt idx="163">
                  <c:v>525</c:v>
                </c:pt>
                <c:pt idx="164">
                  <c:v>553</c:v>
                </c:pt>
                <c:pt idx="165">
                  <c:v>514</c:v>
                </c:pt>
                <c:pt idx="166">
                  <c:v>586</c:v>
                </c:pt>
                <c:pt idx="167">
                  <c:v>560</c:v>
                </c:pt>
                <c:pt idx="168">
                  <c:v>629</c:v>
                </c:pt>
                <c:pt idx="169">
                  <c:v>604</c:v>
                </c:pt>
                <c:pt idx="170">
                  <c:v>674</c:v>
                </c:pt>
                <c:pt idx="171">
                  <c:v>380</c:v>
                </c:pt>
                <c:pt idx="172">
                  <c:v>442</c:v>
                </c:pt>
                <c:pt idx="173">
                  <c:v>479</c:v>
                </c:pt>
                <c:pt idx="174">
                  <c:v>262</c:v>
                </c:pt>
                <c:pt idx="175">
                  <c:v>395</c:v>
                </c:pt>
                <c:pt idx="176">
                  <c:v>340</c:v>
                </c:pt>
                <c:pt idx="177">
                  <c:v>334</c:v>
                </c:pt>
                <c:pt idx="178">
                  <c:v>461</c:v>
                </c:pt>
                <c:pt idx="179">
                  <c:v>511</c:v>
                </c:pt>
                <c:pt idx="180">
                  <c:v>606</c:v>
                </c:pt>
                <c:pt idx="181">
                  <c:v>590</c:v>
                </c:pt>
                <c:pt idx="182">
                  <c:v>704</c:v>
                </c:pt>
                <c:pt idx="183">
                  <c:v>655</c:v>
                </c:pt>
                <c:pt idx="184">
                  <c:v>531</c:v>
                </c:pt>
                <c:pt idx="185">
                  <c:v>354</c:v>
                </c:pt>
                <c:pt idx="186">
                  <c:v>307</c:v>
                </c:pt>
                <c:pt idx="187">
                  <c:v>162</c:v>
                </c:pt>
                <c:pt idx="188">
                  <c:v>322</c:v>
                </c:pt>
                <c:pt idx="189">
                  <c:v>279</c:v>
                </c:pt>
                <c:pt idx="190">
                  <c:v>427</c:v>
                </c:pt>
                <c:pt idx="191">
                  <c:v>671</c:v>
                </c:pt>
                <c:pt idx="192">
                  <c:v>520</c:v>
                </c:pt>
                <c:pt idx="193">
                  <c:v>456</c:v>
                </c:pt>
                <c:pt idx="194">
                  <c:v>460</c:v>
                </c:pt>
                <c:pt idx="195">
                  <c:v>658</c:v>
                </c:pt>
                <c:pt idx="196">
                  <c:v>402</c:v>
                </c:pt>
                <c:pt idx="197">
                  <c:v>279</c:v>
                </c:pt>
                <c:pt idx="198">
                  <c:v>208</c:v>
                </c:pt>
                <c:pt idx="199">
                  <c:v>259</c:v>
                </c:pt>
                <c:pt idx="200">
                  <c:v>201</c:v>
                </c:pt>
                <c:pt idx="201">
                  <c:v>220</c:v>
                </c:pt>
                <c:pt idx="202">
                  <c:v>493</c:v>
                </c:pt>
                <c:pt idx="203">
                  <c:v>637</c:v>
                </c:pt>
                <c:pt idx="204">
                  <c:v>919</c:v>
                </c:pt>
                <c:pt idx="205">
                  <c:v>690</c:v>
                </c:pt>
                <c:pt idx="206">
                  <c:v>851</c:v>
                </c:pt>
                <c:pt idx="207">
                  <c:v>985</c:v>
                </c:pt>
                <c:pt idx="208">
                  <c:v>345</c:v>
                </c:pt>
                <c:pt idx="209">
                  <c:v>196</c:v>
                </c:pt>
                <c:pt idx="210">
                  <c:v>134</c:v>
                </c:pt>
                <c:pt idx="211">
                  <c:v>227</c:v>
                </c:pt>
                <c:pt idx="212">
                  <c:v>272</c:v>
                </c:pt>
                <c:pt idx="213">
                  <c:v>286</c:v>
                </c:pt>
                <c:pt idx="214">
                  <c:v>500</c:v>
                </c:pt>
                <c:pt idx="215">
                  <c:v>596</c:v>
                </c:pt>
                <c:pt idx="216">
                  <c:v>832</c:v>
                </c:pt>
                <c:pt idx="217">
                  <c:v>771</c:v>
                </c:pt>
                <c:pt idx="218">
                  <c:v>948</c:v>
                </c:pt>
                <c:pt idx="219">
                  <c:v>786</c:v>
                </c:pt>
                <c:pt idx="220">
                  <c:v>495</c:v>
                </c:pt>
                <c:pt idx="221">
                  <c:v>239</c:v>
                </c:pt>
                <c:pt idx="222">
                  <c:v>291</c:v>
                </c:pt>
                <c:pt idx="223">
                  <c:v>316</c:v>
                </c:pt>
                <c:pt idx="224">
                  <c:v>292</c:v>
                </c:pt>
                <c:pt idx="225">
                  <c:v>219</c:v>
                </c:pt>
                <c:pt idx="226">
                  <c:v>347</c:v>
                </c:pt>
                <c:pt idx="227">
                  <c:v>370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F4-4A92-8AF6-2AD077EE85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12266736"/>
        <c:axId val="2112266256"/>
      </c:areaChart>
      <c:catAx>
        <c:axId val="211226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2266256"/>
        <c:crosses val="autoZero"/>
        <c:auto val="1"/>
        <c:lblAlgn val="ctr"/>
        <c:lblOffset val="100"/>
        <c:noMultiLvlLbl val="0"/>
      </c:catAx>
      <c:valAx>
        <c:axId val="2112266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22667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'Historical trend ass. Lat_visu'!$B$107</c:f>
              <c:strCache>
                <c:ptCount val="1"/>
                <c:pt idx="0">
                  <c:v>Industry and construction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'Historical trend ass. Lat_visu'!$A$108:$A$132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Lat_visu'!$B$108:$B$132</c:f>
              <c:numCache>
                <c:formatCode>#,##0</c:formatCode>
                <c:ptCount val="25"/>
                <c:pt idx="0">
                  <c:v>1433</c:v>
                </c:pt>
                <c:pt idx="1">
                  <c:v>1545</c:v>
                </c:pt>
                <c:pt idx="2">
                  <c:v>1526</c:v>
                </c:pt>
                <c:pt idx="3">
                  <c:v>1605</c:v>
                </c:pt>
                <c:pt idx="4">
                  <c:v>1634</c:v>
                </c:pt>
                <c:pt idx="5">
                  <c:v>1700</c:v>
                </c:pt>
                <c:pt idx="6">
                  <c:v>1759</c:v>
                </c:pt>
                <c:pt idx="7">
                  <c:v>1816</c:v>
                </c:pt>
                <c:pt idx="8">
                  <c:v>1685</c:v>
                </c:pt>
                <c:pt idx="9">
                  <c:v>1506</c:v>
                </c:pt>
                <c:pt idx="10">
                  <c:v>1590</c:v>
                </c:pt>
                <c:pt idx="11">
                  <c:v>1670</c:v>
                </c:pt>
                <c:pt idx="12">
                  <c:v>1993</c:v>
                </c:pt>
                <c:pt idx="13">
                  <c:v>1808</c:v>
                </c:pt>
                <c:pt idx="14">
                  <c:v>1668</c:v>
                </c:pt>
                <c:pt idx="15">
                  <c:v>1703</c:v>
                </c:pt>
                <c:pt idx="16">
                  <c:v>1668</c:v>
                </c:pt>
                <c:pt idx="17">
                  <c:v>1763</c:v>
                </c:pt>
                <c:pt idx="18">
                  <c:v>1842</c:v>
                </c:pt>
                <c:pt idx="19">
                  <c:v>1846</c:v>
                </c:pt>
                <c:pt idx="20">
                  <c:v>1864</c:v>
                </c:pt>
                <c:pt idx="21">
                  <c:v>1946</c:v>
                </c:pt>
                <c:pt idx="22">
                  <c:v>1848</c:v>
                </c:pt>
                <c:pt idx="23">
                  <c:v>1751</c:v>
                </c:pt>
                <c:pt idx="24">
                  <c:v>1782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4D-4063-98DB-49791A83FABD}"/>
            </c:ext>
          </c:extLst>
        </c:ser>
        <c:ser>
          <c:idx val="1"/>
          <c:order val="1"/>
          <c:tx>
            <c:strRef>
              <c:f>'Historical trend ass. Lat_visu'!$C$107</c:f>
              <c:strCache>
                <c:ptCount val="1"/>
                <c:pt idx="0">
                  <c:v>Transport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'Historical trend ass. Lat_visu'!$A$108:$A$132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Lat_visu'!$C$108:$C$132</c:f>
              <c:numCache>
                <c:formatCode>General</c:formatCode>
                <c:ptCount val="25"/>
                <c:pt idx="0">
                  <c:v>152</c:v>
                </c:pt>
                <c:pt idx="1">
                  <c:v>173</c:v>
                </c:pt>
                <c:pt idx="2">
                  <c:v>144</c:v>
                </c:pt>
                <c:pt idx="3">
                  <c:v>136</c:v>
                </c:pt>
                <c:pt idx="4">
                  <c:v>139</c:v>
                </c:pt>
                <c:pt idx="5">
                  <c:v>148</c:v>
                </c:pt>
                <c:pt idx="6">
                  <c:v>150</c:v>
                </c:pt>
                <c:pt idx="7">
                  <c:v>140</c:v>
                </c:pt>
                <c:pt idx="8">
                  <c:v>138</c:v>
                </c:pt>
                <c:pt idx="9">
                  <c:v>121</c:v>
                </c:pt>
                <c:pt idx="10">
                  <c:v>126</c:v>
                </c:pt>
                <c:pt idx="11">
                  <c:v>124</c:v>
                </c:pt>
                <c:pt idx="12">
                  <c:v>129</c:v>
                </c:pt>
                <c:pt idx="13">
                  <c:v>124</c:v>
                </c:pt>
                <c:pt idx="14">
                  <c:v>117</c:v>
                </c:pt>
                <c:pt idx="15">
                  <c:v>107</c:v>
                </c:pt>
                <c:pt idx="16">
                  <c:v>105</c:v>
                </c:pt>
                <c:pt idx="17">
                  <c:v>105</c:v>
                </c:pt>
                <c:pt idx="18">
                  <c:v>104</c:v>
                </c:pt>
                <c:pt idx="19">
                  <c:v>101</c:v>
                </c:pt>
                <c:pt idx="20">
                  <c:v>94</c:v>
                </c:pt>
                <c:pt idx="21">
                  <c:v>98</c:v>
                </c:pt>
                <c:pt idx="22">
                  <c:v>101</c:v>
                </c:pt>
                <c:pt idx="23">
                  <c:v>107</c:v>
                </c:pt>
                <c:pt idx="24">
                  <c:v>122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4D-4063-98DB-49791A83FABD}"/>
            </c:ext>
          </c:extLst>
        </c:ser>
        <c:ser>
          <c:idx val="2"/>
          <c:order val="2"/>
          <c:tx>
            <c:strRef>
              <c:f>'Historical trend ass. Lat_visu'!$D$107</c:f>
              <c:strCache>
                <c:ptCount val="1"/>
                <c:pt idx="0">
                  <c:v>Buildings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'Historical trend ass. Lat_visu'!$A$108:$A$132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Lat_visu'!$D$108:$D$132</c:f>
              <c:numCache>
                <c:formatCode>#,##0</c:formatCode>
                <c:ptCount val="25"/>
                <c:pt idx="0">
                  <c:v>2735</c:v>
                </c:pt>
                <c:pt idx="1">
                  <c:v>2705</c:v>
                </c:pt>
                <c:pt idx="2">
                  <c:v>3044</c:v>
                </c:pt>
                <c:pt idx="3">
                  <c:v>3286</c:v>
                </c:pt>
                <c:pt idx="4">
                  <c:v>3455</c:v>
                </c:pt>
                <c:pt idx="5">
                  <c:v>3714</c:v>
                </c:pt>
                <c:pt idx="6">
                  <c:v>4059</c:v>
                </c:pt>
                <c:pt idx="7">
                  <c:v>4498</c:v>
                </c:pt>
                <c:pt idx="8">
                  <c:v>4666</c:v>
                </c:pt>
                <c:pt idx="9">
                  <c:v>4341</c:v>
                </c:pt>
                <c:pt idx="10">
                  <c:v>4360</c:v>
                </c:pt>
                <c:pt idx="11">
                  <c:v>4262</c:v>
                </c:pt>
                <c:pt idx="12">
                  <c:v>4578</c:v>
                </c:pt>
                <c:pt idx="13">
                  <c:v>4490</c:v>
                </c:pt>
                <c:pt idx="14">
                  <c:v>4632</c:v>
                </c:pt>
                <c:pt idx="15">
                  <c:v>4487</c:v>
                </c:pt>
                <c:pt idx="16">
                  <c:v>4528</c:v>
                </c:pt>
                <c:pt idx="17">
                  <c:v>4423</c:v>
                </c:pt>
                <c:pt idx="18">
                  <c:v>4526</c:v>
                </c:pt>
                <c:pt idx="19">
                  <c:v>4497</c:v>
                </c:pt>
                <c:pt idx="20">
                  <c:v>4330</c:v>
                </c:pt>
                <c:pt idx="21">
                  <c:v>4465</c:v>
                </c:pt>
                <c:pt idx="22">
                  <c:v>4326</c:v>
                </c:pt>
                <c:pt idx="23">
                  <c:v>4229</c:v>
                </c:pt>
                <c:pt idx="24">
                  <c:v>4412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84D-4063-98DB-49791A83FA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4831904"/>
        <c:axId val="574828544"/>
      </c:lineChart>
      <c:catAx>
        <c:axId val="574831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4828544"/>
        <c:crosses val="autoZero"/>
        <c:auto val="1"/>
        <c:lblAlgn val="ctr"/>
        <c:lblOffset val="100"/>
        <c:noMultiLvlLbl val="0"/>
      </c:catAx>
      <c:valAx>
        <c:axId val="574828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4831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336870570604512"/>
          <c:y val="3.9568345323741004E-2"/>
          <c:w val="0.87323948142845775"/>
          <c:h val="0.60201689857260998"/>
        </c:manualLayout>
      </c:layout>
      <c:areaChart>
        <c:grouping val="stacked"/>
        <c:varyColors val="0"/>
        <c:ser>
          <c:idx val="1"/>
          <c:order val="1"/>
          <c:tx>
            <c:strRef>
              <c:f>'Historical trend ass. Lat_visu'!$C$135</c:f>
              <c:strCache>
                <c:ptCount val="1"/>
                <c:pt idx="0">
                  <c:v>Coal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'Historical trend ass. Lat_visu'!$A$136:$A$160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Lat_visu'!$C$136:$C$160</c:f>
              <c:numCache>
                <c:formatCode>General</c:formatCode>
                <c:ptCount val="25"/>
                <c:pt idx="0">
                  <c:v>78</c:v>
                </c:pt>
                <c:pt idx="1">
                  <c:v>42</c:v>
                </c:pt>
                <c:pt idx="2">
                  <c:v>38</c:v>
                </c:pt>
                <c:pt idx="3">
                  <c:v>22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7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0E-410A-859F-73B9E6C2426C}"/>
            </c:ext>
          </c:extLst>
        </c:ser>
        <c:ser>
          <c:idx val="4"/>
          <c:order val="2"/>
          <c:tx>
            <c:strRef>
              <c:f>'Historical trend ass. Lat_visu'!$D$135</c:f>
              <c:strCache>
                <c:ptCount val="1"/>
                <c:pt idx="0">
                  <c:v>wood chips and waste</c:v>
                </c:pt>
              </c:strCache>
            </c:strRef>
          </c:tx>
          <c:spPr>
            <a:solidFill>
              <a:schemeClr val="accent5"/>
            </a:solidFill>
            <a:ln w="25400">
              <a:noFill/>
            </a:ln>
            <a:effectLst/>
          </c:spPr>
          <c:cat>
            <c:numRef>
              <c:f>'Historical trend ass. Lat_visu'!$A$136:$A$160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Lat_visu'!$D$136:$D$160</c:f>
              <c:numCache>
                <c:formatCode>General</c:formatCode>
                <c:ptCount val="25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7</c:v>
                </c:pt>
                <c:pt idx="7">
                  <c:v>5</c:v>
                </c:pt>
                <c:pt idx="8">
                  <c:v>5</c:v>
                </c:pt>
                <c:pt idx="9">
                  <c:v>4</c:v>
                </c:pt>
                <c:pt idx="10">
                  <c:v>9</c:v>
                </c:pt>
                <c:pt idx="11">
                  <c:v>13</c:v>
                </c:pt>
                <c:pt idx="12">
                  <c:v>65</c:v>
                </c:pt>
                <c:pt idx="13">
                  <c:v>215</c:v>
                </c:pt>
                <c:pt idx="14">
                  <c:v>319</c:v>
                </c:pt>
                <c:pt idx="15">
                  <c:v>378</c:v>
                </c:pt>
                <c:pt idx="16">
                  <c:v>427</c:v>
                </c:pt>
                <c:pt idx="17">
                  <c:v>525</c:v>
                </c:pt>
                <c:pt idx="18">
                  <c:v>570</c:v>
                </c:pt>
                <c:pt idx="19">
                  <c:v>575</c:v>
                </c:pt>
                <c:pt idx="20">
                  <c:v>520</c:v>
                </c:pt>
                <c:pt idx="21">
                  <c:v>570</c:v>
                </c:pt>
                <c:pt idx="22">
                  <c:v>552</c:v>
                </c:pt>
                <c:pt idx="23">
                  <c:v>477</c:v>
                </c:pt>
                <c:pt idx="24">
                  <c:v>457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0E-410A-859F-73B9E6C2426C}"/>
            </c:ext>
          </c:extLst>
        </c:ser>
        <c:ser>
          <c:idx val="5"/>
          <c:order val="3"/>
          <c:tx>
            <c:strRef>
              <c:f>'Historical trend ass. Lat_visu'!$E$135</c:f>
              <c:strCache>
                <c:ptCount val="1"/>
                <c:pt idx="0">
                  <c:v>Oil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cat>
            <c:numRef>
              <c:f>'Historical trend ass. Lat_visu'!$A$136:$A$160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Lat_visu'!$E$136:$E$160</c:f>
              <c:numCache>
                <c:formatCode>General</c:formatCode>
                <c:ptCount val="25"/>
                <c:pt idx="0">
                  <c:v>107</c:v>
                </c:pt>
                <c:pt idx="1">
                  <c:v>95</c:v>
                </c:pt>
                <c:pt idx="2">
                  <c:v>139</c:v>
                </c:pt>
                <c:pt idx="3">
                  <c:v>82</c:v>
                </c:pt>
                <c:pt idx="4">
                  <c:v>60</c:v>
                </c:pt>
                <c:pt idx="5">
                  <c:v>6</c:v>
                </c:pt>
                <c:pt idx="6">
                  <c:v>5</c:v>
                </c:pt>
                <c:pt idx="7">
                  <c:v>17</c:v>
                </c:pt>
                <c:pt idx="8">
                  <c:v>2</c:v>
                </c:pt>
                <c:pt idx="9">
                  <c:v>4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  <c:pt idx="13">
                  <c:v>2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3</c:v>
                </c:pt>
                <c:pt idx="23">
                  <c:v>2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0E-410A-859F-73B9E6C2426C}"/>
            </c:ext>
          </c:extLst>
        </c:ser>
        <c:ser>
          <c:idx val="8"/>
          <c:order val="4"/>
          <c:tx>
            <c:strRef>
              <c:f>'Historical trend ass. Lat_visu'!$F$135</c:f>
              <c:strCache>
                <c:ptCount val="1"/>
                <c:pt idx="0">
                  <c:v>Natural Gas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25400">
              <a:noFill/>
            </a:ln>
            <a:effectLst/>
          </c:spPr>
          <c:cat>
            <c:numRef>
              <c:f>'Historical trend ass. Lat_visu'!$A$136:$A$160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Lat_visu'!$F$136:$F$160</c:f>
              <c:numCache>
                <c:formatCode>#,##0</c:formatCode>
                <c:ptCount val="25"/>
                <c:pt idx="0">
                  <c:v>1128</c:v>
                </c:pt>
                <c:pt idx="1">
                  <c:v>1304</c:v>
                </c:pt>
                <c:pt idx="2">
                  <c:v>1313</c:v>
                </c:pt>
                <c:pt idx="3">
                  <c:v>1533</c:v>
                </c:pt>
                <c:pt idx="4">
                  <c:v>1433</c:v>
                </c:pt>
                <c:pt idx="5">
                  <c:v>1486</c:v>
                </c:pt>
                <c:pt idx="6">
                  <c:v>2100</c:v>
                </c:pt>
                <c:pt idx="7">
                  <c:v>1925</c:v>
                </c:pt>
                <c:pt idx="8">
                  <c:v>2058</c:v>
                </c:pt>
                <c:pt idx="9">
                  <c:v>2007</c:v>
                </c:pt>
                <c:pt idx="10">
                  <c:v>2988</c:v>
                </c:pt>
                <c:pt idx="11">
                  <c:v>3014</c:v>
                </c:pt>
                <c:pt idx="12">
                  <c:v>2055</c:v>
                </c:pt>
                <c:pt idx="13">
                  <c:v>2670</c:v>
                </c:pt>
                <c:pt idx="14">
                  <c:v>2337</c:v>
                </c:pt>
                <c:pt idx="15">
                  <c:v>2756</c:v>
                </c:pt>
                <c:pt idx="16">
                  <c:v>2944</c:v>
                </c:pt>
                <c:pt idx="17">
                  <c:v>2068</c:v>
                </c:pt>
                <c:pt idx="18">
                  <c:v>3218</c:v>
                </c:pt>
                <c:pt idx="19">
                  <c:v>3245</c:v>
                </c:pt>
                <c:pt idx="20">
                  <c:v>2075</c:v>
                </c:pt>
                <c:pt idx="21">
                  <c:v>2128</c:v>
                </c:pt>
                <c:pt idx="22">
                  <c:v>1210</c:v>
                </c:pt>
                <c:pt idx="23">
                  <c:v>1421</c:v>
                </c:pt>
                <c:pt idx="24">
                  <c:v>1678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70E-410A-859F-73B9E6C2426C}"/>
            </c:ext>
          </c:extLst>
        </c:ser>
        <c:ser>
          <c:idx val="9"/>
          <c:order val="5"/>
          <c:tx>
            <c:strRef>
              <c:f>'Historical trend ass. Lat_visu'!$G$135</c:f>
              <c:strCache>
                <c:ptCount val="1"/>
                <c:pt idx="0">
                  <c:v>Biogases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cat>
            <c:numRef>
              <c:f>'Historical trend ass. Lat_visu'!$A$136:$A$160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Lat_visu'!$G$136:$G$160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5</c:v>
                </c:pt>
                <c:pt idx="3">
                  <c:v>18</c:v>
                </c:pt>
                <c:pt idx="4">
                  <c:v>32</c:v>
                </c:pt>
                <c:pt idx="5">
                  <c:v>36</c:v>
                </c:pt>
                <c:pt idx="6">
                  <c:v>36</c:v>
                </c:pt>
                <c:pt idx="7">
                  <c:v>37</c:v>
                </c:pt>
                <c:pt idx="8">
                  <c:v>40</c:v>
                </c:pt>
                <c:pt idx="9">
                  <c:v>44</c:v>
                </c:pt>
                <c:pt idx="10">
                  <c:v>57</c:v>
                </c:pt>
                <c:pt idx="11">
                  <c:v>105</c:v>
                </c:pt>
                <c:pt idx="12">
                  <c:v>223</c:v>
                </c:pt>
                <c:pt idx="13">
                  <c:v>288</c:v>
                </c:pt>
                <c:pt idx="14">
                  <c:v>350</c:v>
                </c:pt>
                <c:pt idx="15">
                  <c:v>392</c:v>
                </c:pt>
                <c:pt idx="16">
                  <c:v>397</c:v>
                </c:pt>
                <c:pt idx="17">
                  <c:v>405</c:v>
                </c:pt>
                <c:pt idx="18">
                  <c:v>374</c:v>
                </c:pt>
                <c:pt idx="19">
                  <c:v>353</c:v>
                </c:pt>
                <c:pt idx="20">
                  <c:v>345</c:v>
                </c:pt>
                <c:pt idx="21">
                  <c:v>292</c:v>
                </c:pt>
                <c:pt idx="22">
                  <c:v>250</c:v>
                </c:pt>
                <c:pt idx="23">
                  <c:v>182</c:v>
                </c:pt>
                <c:pt idx="24">
                  <c:v>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70E-410A-859F-73B9E6C2426C}"/>
            </c:ext>
          </c:extLst>
        </c:ser>
        <c:ser>
          <c:idx val="11"/>
          <c:order val="6"/>
          <c:tx>
            <c:strRef>
              <c:f>'Historical trend ass. Lat_visu'!$H$135</c:f>
              <c:strCache>
                <c:ptCount val="1"/>
                <c:pt idx="0">
                  <c:v>Biofuels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 w="25400">
              <a:noFill/>
            </a:ln>
            <a:effectLst/>
          </c:spPr>
          <c:cat>
            <c:numRef>
              <c:f>'Historical trend ass. Lat_visu'!$A$136:$A$160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Lat_visu'!$H$136:$H$160</c:f>
              <c:numCache>
                <c:formatCode>General</c:formatCode>
                <c:ptCount val="25"/>
                <c:pt idx="0">
                  <c:v>0</c:v>
                </c:pt>
                <c:pt idx="1">
                  <c:v>3</c:v>
                </c:pt>
                <c:pt idx="2">
                  <c:v>10</c:v>
                </c:pt>
                <c:pt idx="3">
                  <c:v>24</c:v>
                </c:pt>
                <c:pt idx="4">
                  <c:v>38</c:v>
                </c:pt>
                <c:pt idx="5">
                  <c:v>41</c:v>
                </c:pt>
                <c:pt idx="6">
                  <c:v>42</c:v>
                </c:pt>
                <c:pt idx="7">
                  <c:v>42</c:v>
                </c:pt>
                <c:pt idx="8">
                  <c:v>44</c:v>
                </c:pt>
                <c:pt idx="9">
                  <c:v>49</c:v>
                </c:pt>
                <c:pt idx="10">
                  <c:v>66</c:v>
                </c:pt>
                <c:pt idx="11">
                  <c:v>119</c:v>
                </c:pt>
                <c:pt idx="12">
                  <c:v>288</c:v>
                </c:pt>
                <c:pt idx="13">
                  <c:v>502</c:v>
                </c:pt>
                <c:pt idx="14">
                  <c:v>669</c:v>
                </c:pt>
                <c:pt idx="15">
                  <c:v>769</c:v>
                </c:pt>
                <c:pt idx="16">
                  <c:v>823</c:v>
                </c:pt>
                <c:pt idx="17">
                  <c:v>930</c:v>
                </c:pt>
                <c:pt idx="18">
                  <c:v>943</c:v>
                </c:pt>
                <c:pt idx="19">
                  <c:v>927</c:v>
                </c:pt>
                <c:pt idx="20">
                  <c:v>864</c:v>
                </c:pt>
                <c:pt idx="21">
                  <c:v>861</c:v>
                </c:pt>
                <c:pt idx="22">
                  <c:v>801</c:v>
                </c:pt>
                <c:pt idx="23">
                  <c:v>659</c:v>
                </c:pt>
                <c:pt idx="24">
                  <c:v>621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70E-410A-859F-73B9E6C2426C}"/>
            </c:ext>
          </c:extLst>
        </c:ser>
        <c:ser>
          <c:idx val="13"/>
          <c:order val="7"/>
          <c:tx>
            <c:strRef>
              <c:f>'Historical trend ass. Lat_visu'!$I$135</c:f>
              <c:strCache>
                <c:ptCount val="1"/>
                <c:pt idx="0">
                  <c:v>Hydro energy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 w="25400">
              <a:noFill/>
            </a:ln>
            <a:effectLst/>
          </c:spPr>
          <c:cat>
            <c:numRef>
              <c:f>'Historical trend ass. Lat_visu'!$A$136:$A$160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Lat_visu'!$I$136:$I$160</c:f>
              <c:numCache>
                <c:formatCode>#,##0</c:formatCode>
                <c:ptCount val="25"/>
                <c:pt idx="0">
                  <c:v>2819</c:v>
                </c:pt>
                <c:pt idx="1">
                  <c:v>2833</c:v>
                </c:pt>
                <c:pt idx="2">
                  <c:v>2464</c:v>
                </c:pt>
                <c:pt idx="3">
                  <c:v>2266</c:v>
                </c:pt>
                <c:pt idx="4">
                  <c:v>3109</c:v>
                </c:pt>
                <c:pt idx="5">
                  <c:v>3325</c:v>
                </c:pt>
                <c:pt idx="6">
                  <c:v>2698</c:v>
                </c:pt>
                <c:pt idx="7">
                  <c:v>2733</c:v>
                </c:pt>
                <c:pt idx="8">
                  <c:v>3109</c:v>
                </c:pt>
                <c:pt idx="9">
                  <c:v>3457</c:v>
                </c:pt>
                <c:pt idx="10">
                  <c:v>3520</c:v>
                </c:pt>
                <c:pt idx="11">
                  <c:v>2887</c:v>
                </c:pt>
                <c:pt idx="12">
                  <c:v>3707</c:v>
                </c:pt>
                <c:pt idx="13">
                  <c:v>2912</c:v>
                </c:pt>
                <c:pt idx="14">
                  <c:v>1993</c:v>
                </c:pt>
                <c:pt idx="15">
                  <c:v>1860</c:v>
                </c:pt>
                <c:pt idx="16">
                  <c:v>2530</c:v>
                </c:pt>
                <c:pt idx="17">
                  <c:v>4381</c:v>
                </c:pt>
                <c:pt idx="18">
                  <c:v>2432</c:v>
                </c:pt>
                <c:pt idx="19">
                  <c:v>2108</c:v>
                </c:pt>
                <c:pt idx="20">
                  <c:v>2603</c:v>
                </c:pt>
                <c:pt idx="21">
                  <c:v>2708</c:v>
                </c:pt>
                <c:pt idx="22">
                  <c:v>2750</c:v>
                </c:pt>
                <c:pt idx="23">
                  <c:v>3794</c:v>
                </c:pt>
                <c:pt idx="24">
                  <c:v>3210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70E-410A-859F-73B9E6C2426C}"/>
            </c:ext>
          </c:extLst>
        </c:ser>
        <c:ser>
          <c:idx val="14"/>
          <c:order val="8"/>
          <c:tx>
            <c:strRef>
              <c:f>'Historical trend ass. Lat_visu'!$J$135</c:f>
              <c:strCache>
                <c:ptCount val="1"/>
                <c:pt idx="0">
                  <c:v>Wind energy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cat>
            <c:numRef>
              <c:f>'Historical trend ass. Lat_visu'!$A$136:$A$160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Lat_visu'!$J$136:$J$160</c:f>
              <c:numCache>
                <c:formatCode>General</c:formatCode>
                <c:ptCount val="25"/>
                <c:pt idx="0">
                  <c:v>5</c:v>
                </c:pt>
                <c:pt idx="1">
                  <c:v>3</c:v>
                </c:pt>
                <c:pt idx="2">
                  <c:v>11</c:v>
                </c:pt>
                <c:pt idx="3">
                  <c:v>48</c:v>
                </c:pt>
                <c:pt idx="4">
                  <c:v>49</c:v>
                </c:pt>
                <c:pt idx="5">
                  <c:v>47</c:v>
                </c:pt>
                <c:pt idx="6">
                  <c:v>46</c:v>
                </c:pt>
                <c:pt idx="7">
                  <c:v>53</c:v>
                </c:pt>
                <c:pt idx="8">
                  <c:v>59</c:v>
                </c:pt>
                <c:pt idx="9">
                  <c:v>50</c:v>
                </c:pt>
                <c:pt idx="10">
                  <c:v>49</c:v>
                </c:pt>
                <c:pt idx="11">
                  <c:v>71</c:v>
                </c:pt>
                <c:pt idx="12">
                  <c:v>114</c:v>
                </c:pt>
                <c:pt idx="13">
                  <c:v>120</c:v>
                </c:pt>
                <c:pt idx="14">
                  <c:v>139</c:v>
                </c:pt>
                <c:pt idx="15">
                  <c:v>147</c:v>
                </c:pt>
                <c:pt idx="16">
                  <c:v>128</c:v>
                </c:pt>
                <c:pt idx="17">
                  <c:v>150</c:v>
                </c:pt>
                <c:pt idx="18">
                  <c:v>122</c:v>
                </c:pt>
                <c:pt idx="19">
                  <c:v>154</c:v>
                </c:pt>
                <c:pt idx="20">
                  <c:v>177</c:v>
                </c:pt>
                <c:pt idx="21">
                  <c:v>141</c:v>
                </c:pt>
                <c:pt idx="22">
                  <c:v>190</c:v>
                </c:pt>
                <c:pt idx="23">
                  <c:v>271</c:v>
                </c:pt>
                <c:pt idx="24">
                  <c:v>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70E-410A-859F-73B9E6C2426C}"/>
            </c:ext>
          </c:extLst>
        </c:ser>
        <c:ser>
          <c:idx val="15"/>
          <c:order val="9"/>
          <c:tx>
            <c:strRef>
              <c:f>'Historical trend ass. Lat_visu'!$K$135</c:f>
              <c:strCache>
                <c:ptCount val="1"/>
                <c:pt idx="0">
                  <c:v>Solar energy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cat>
            <c:numRef>
              <c:f>'Historical trend ass. Lat_visu'!$A$136:$A$160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Lat_visu'!$K$136:$K$160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3</c:v>
                </c:pt>
                <c:pt idx="20">
                  <c:v>5</c:v>
                </c:pt>
                <c:pt idx="21">
                  <c:v>7</c:v>
                </c:pt>
                <c:pt idx="22">
                  <c:v>75</c:v>
                </c:pt>
                <c:pt idx="23">
                  <c:v>239</c:v>
                </c:pt>
                <c:pt idx="24">
                  <c:v>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70E-410A-859F-73B9E6C2426C}"/>
            </c:ext>
          </c:extLst>
        </c:ser>
        <c:ser>
          <c:idx val="2"/>
          <c:order val="10"/>
          <c:tx>
            <c:strRef>
              <c:f>'Historical trend ass. Lat_visu'!$L$135</c:f>
              <c:strCache>
                <c:ptCount val="1"/>
                <c:pt idx="0">
                  <c:v>Electricity import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val>
            <c:numRef>
              <c:f>'Historical trend ass. Lat_visu'!$L$136:$L$160</c:f>
              <c:numCache>
                <c:formatCode>#,##0</c:formatCode>
                <c:ptCount val="25"/>
                <c:pt idx="0">
                  <c:v>2108</c:v>
                </c:pt>
                <c:pt idx="1">
                  <c:v>2340</c:v>
                </c:pt>
                <c:pt idx="2">
                  <c:v>2838</c:v>
                </c:pt>
                <c:pt idx="3">
                  <c:v>2671</c:v>
                </c:pt>
                <c:pt idx="4">
                  <c:v>2733</c:v>
                </c:pt>
                <c:pt idx="5">
                  <c:v>2855</c:v>
                </c:pt>
                <c:pt idx="6">
                  <c:v>2810</c:v>
                </c:pt>
                <c:pt idx="7">
                  <c:v>4964</c:v>
                </c:pt>
                <c:pt idx="8">
                  <c:v>4643</c:v>
                </c:pt>
                <c:pt idx="9">
                  <c:v>4259</c:v>
                </c:pt>
                <c:pt idx="10">
                  <c:v>3973</c:v>
                </c:pt>
                <c:pt idx="11">
                  <c:v>4009</c:v>
                </c:pt>
                <c:pt idx="12">
                  <c:v>4935</c:v>
                </c:pt>
                <c:pt idx="13">
                  <c:v>5005</c:v>
                </c:pt>
                <c:pt idx="14">
                  <c:v>5340</c:v>
                </c:pt>
                <c:pt idx="15">
                  <c:v>5246</c:v>
                </c:pt>
                <c:pt idx="16">
                  <c:v>4828</c:v>
                </c:pt>
                <c:pt idx="17">
                  <c:v>4073</c:v>
                </c:pt>
                <c:pt idx="18">
                  <c:v>5174</c:v>
                </c:pt>
                <c:pt idx="19">
                  <c:v>4611</c:v>
                </c:pt>
                <c:pt idx="20">
                  <c:v>4173</c:v>
                </c:pt>
                <c:pt idx="21">
                  <c:v>4666</c:v>
                </c:pt>
                <c:pt idx="22">
                  <c:v>5308</c:v>
                </c:pt>
                <c:pt idx="23">
                  <c:v>4075</c:v>
                </c:pt>
                <c:pt idx="24">
                  <c:v>4248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70E-410A-859F-73B9E6C242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0368336"/>
        <c:axId val="370370736"/>
      </c:areaChart>
      <c:lineChart>
        <c:grouping val="standar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0368336"/>
        <c:axId val="370370736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'Historical trend ass. Lat_visu'!$B$135</c15:sqref>
                        </c15:formulaRef>
                      </c:ext>
                    </c:extLst>
                    <c:strCache>
                      <c:ptCount val="1"/>
                      <c:pt idx="0">
                        <c:v>Total 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'Historical trend ass. Lat_visu'!$A$136:$A$160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2020</c:v>
                      </c:pt>
                      <c:pt idx="21">
                        <c:v>2021</c:v>
                      </c:pt>
                      <c:pt idx="22">
                        <c:v>2022</c:v>
                      </c:pt>
                      <c:pt idx="23">
                        <c:v>2023</c:v>
                      </c:pt>
                      <c:pt idx="24">
                        <c:v>2024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'Historical trend ass. Lat_visu'!$B$136:$B$160</c15:sqref>
                        </c15:formulaRef>
                      </c:ext>
                    </c:extLst>
                    <c:numCache>
                      <c:formatCode>#,##0</c:formatCode>
                      <c:ptCount val="25"/>
                      <c:pt idx="0">
                        <c:v>4137</c:v>
                      </c:pt>
                      <c:pt idx="1">
                        <c:v>4283</c:v>
                      </c:pt>
                      <c:pt idx="2">
                        <c:v>3985</c:v>
                      </c:pt>
                      <c:pt idx="3">
                        <c:v>3999</c:v>
                      </c:pt>
                      <c:pt idx="4">
                        <c:v>4727</c:v>
                      </c:pt>
                      <c:pt idx="5">
                        <c:v>4947</c:v>
                      </c:pt>
                      <c:pt idx="6">
                        <c:v>4934</c:v>
                      </c:pt>
                      <c:pt idx="7">
                        <c:v>4813</c:v>
                      </c:pt>
                      <c:pt idx="8">
                        <c:v>5319</c:v>
                      </c:pt>
                      <c:pt idx="9">
                        <c:v>5617</c:v>
                      </c:pt>
                      <c:pt idx="10">
                        <c:v>6693</c:v>
                      </c:pt>
                      <c:pt idx="11">
                        <c:v>6212</c:v>
                      </c:pt>
                      <c:pt idx="12">
                        <c:v>6455</c:v>
                      </c:pt>
                      <c:pt idx="13">
                        <c:v>6712</c:v>
                      </c:pt>
                      <c:pt idx="14">
                        <c:v>5807</c:v>
                      </c:pt>
                      <c:pt idx="15">
                        <c:v>6303</c:v>
                      </c:pt>
                      <c:pt idx="16">
                        <c:v>7249</c:v>
                      </c:pt>
                      <c:pt idx="17">
                        <c:v>8459</c:v>
                      </c:pt>
                      <c:pt idx="18">
                        <c:v>7667</c:v>
                      </c:pt>
                      <c:pt idx="19">
                        <c:v>7365</c:v>
                      </c:pt>
                      <c:pt idx="20">
                        <c:v>6589</c:v>
                      </c:pt>
                      <c:pt idx="21">
                        <c:v>6707</c:v>
                      </c:pt>
                      <c:pt idx="22">
                        <c:v>5831</c:v>
                      </c:pt>
                      <c:pt idx="23">
                        <c:v>7045</c:v>
                      </c:pt>
                      <c:pt idx="24">
                        <c:v>6942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A-070E-410A-859F-73B9E6C2426C}"/>
                  </c:ext>
                </c:extLst>
              </c15:ser>
            </c15:filteredLineSeries>
          </c:ext>
        </c:extLst>
      </c:lineChart>
      <c:catAx>
        <c:axId val="370368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0370736"/>
        <c:crosses val="autoZero"/>
        <c:auto val="1"/>
        <c:lblAlgn val="ctr"/>
        <c:lblOffset val="100"/>
        <c:noMultiLvlLbl val="0"/>
      </c:catAx>
      <c:valAx>
        <c:axId val="370370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0368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0365863243106628E-2"/>
          <c:y val="0.77848143533589387"/>
          <c:w val="0.74207492121378604"/>
          <c:h val="0.1818195064902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'Historical trend ass. Lat_visu'!$E$163</c:f>
              <c:strCache>
                <c:ptCount val="1"/>
                <c:pt idx="0">
                  <c:v>Share of fossil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'Historical trend ass. Lat_visu'!$A$164:$A$188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Lat_visu'!$E$164:$E$188</c:f>
              <c:numCache>
                <c:formatCode>0%</c:formatCode>
                <c:ptCount val="25"/>
                <c:pt idx="0">
                  <c:v>0.31737974377568284</c:v>
                </c:pt>
                <c:pt idx="1">
                  <c:v>0.33644641606350689</c:v>
                </c:pt>
                <c:pt idx="2">
                  <c:v>0.37390213299874531</c:v>
                </c:pt>
                <c:pt idx="3">
                  <c:v>0.40935233808452115</c:v>
                </c:pt>
                <c:pt idx="4">
                  <c:v>0.3158451449122065</c:v>
                </c:pt>
                <c:pt idx="5">
                  <c:v>0.3015969274307661</c:v>
                </c:pt>
                <c:pt idx="6">
                  <c:v>0.42663153627888123</c:v>
                </c:pt>
                <c:pt idx="7">
                  <c:v>0.40369831705796799</c:v>
                </c:pt>
                <c:pt idx="8">
                  <c:v>0.38766685467193079</c:v>
                </c:pt>
                <c:pt idx="9">
                  <c:v>0.35837635748620261</c:v>
                </c:pt>
                <c:pt idx="10">
                  <c:v>0.44703421485133721</c:v>
                </c:pt>
                <c:pt idx="11">
                  <c:v>0.48567289117836443</c:v>
                </c:pt>
                <c:pt idx="12">
                  <c:v>0.31882261812548413</c:v>
                </c:pt>
                <c:pt idx="13">
                  <c:v>0.39853992848629322</c:v>
                </c:pt>
                <c:pt idx="14">
                  <c:v>0.40244532460823146</c:v>
                </c:pt>
                <c:pt idx="15">
                  <c:v>0.43741075678248453</c:v>
                </c:pt>
                <c:pt idx="16">
                  <c:v>0.40612498275624226</c:v>
                </c:pt>
                <c:pt idx="17">
                  <c:v>0.24447334200260079</c:v>
                </c:pt>
                <c:pt idx="18">
                  <c:v>0.42063388548323988</c:v>
                </c:pt>
                <c:pt idx="19">
                  <c:v>0.44059742023082143</c:v>
                </c:pt>
                <c:pt idx="20">
                  <c:v>0.31491880406738504</c:v>
                </c:pt>
                <c:pt idx="21">
                  <c:v>0.31728045325779036</c:v>
                </c:pt>
                <c:pt idx="22">
                  <c:v>0.20802606756988509</c:v>
                </c:pt>
                <c:pt idx="23">
                  <c:v>0.20198722498225691</c:v>
                </c:pt>
                <c:pt idx="24">
                  <c:v>0.24171708441371362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5C-4C03-9A72-935588C11543}"/>
            </c:ext>
          </c:extLst>
        </c:ser>
        <c:ser>
          <c:idx val="1"/>
          <c:order val="1"/>
          <c:tx>
            <c:strRef>
              <c:f>'Historical trend ass. Lat_visu'!$F$163</c:f>
              <c:strCache>
                <c:ptCount val="1"/>
                <c:pt idx="0">
                  <c:v>Share of renewable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'Historical trend ass. Lat_visu'!$A$164:$A$188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Lat_visu'!$F$164:$F$188</c:f>
              <c:numCache>
                <c:formatCode>0%</c:formatCode>
                <c:ptCount val="25"/>
                <c:pt idx="0">
                  <c:v>0.6826202562243171</c:v>
                </c:pt>
                <c:pt idx="1">
                  <c:v>0.66355358393649311</c:v>
                </c:pt>
                <c:pt idx="2">
                  <c:v>0.62609786700125469</c:v>
                </c:pt>
                <c:pt idx="3">
                  <c:v>0.59064766191547891</c:v>
                </c:pt>
                <c:pt idx="4">
                  <c:v>0.6841548550877935</c:v>
                </c:pt>
                <c:pt idx="5">
                  <c:v>0.69840307256923384</c:v>
                </c:pt>
                <c:pt idx="6">
                  <c:v>0.57336846372111872</c:v>
                </c:pt>
                <c:pt idx="7">
                  <c:v>0.59630168294203201</c:v>
                </c:pt>
                <c:pt idx="8">
                  <c:v>0.61233314532806915</c:v>
                </c:pt>
                <c:pt idx="9">
                  <c:v>0.64162364251379744</c:v>
                </c:pt>
                <c:pt idx="10">
                  <c:v>0.55296578514866279</c:v>
                </c:pt>
                <c:pt idx="11">
                  <c:v>0.51432710882163557</c:v>
                </c:pt>
                <c:pt idx="12">
                  <c:v>0.68117738187451593</c:v>
                </c:pt>
                <c:pt idx="13">
                  <c:v>0.60146007151370684</c:v>
                </c:pt>
                <c:pt idx="14">
                  <c:v>0.59755467539176854</c:v>
                </c:pt>
                <c:pt idx="15">
                  <c:v>0.56258924321751547</c:v>
                </c:pt>
                <c:pt idx="16">
                  <c:v>0.5938750172437578</c:v>
                </c:pt>
                <c:pt idx="17">
                  <c:v>0.75552665799739926</c:v>
                </c:pt>
                <c:pt idx="18">
                  <c:v>0.57936611451676012</c:v>
                </c:pt>
                <c:pt idx="19">
                  <c:v>0.55940257976917851</c:v>
                </c:pt>
                <c:pt idx="20">
                  <c:v>0.68508119593261496</c:v>
                </c:pt>
                <c:pt idx="21">
                  <c:v>0.68271954674220958</c:v>
                </c:pt>
                <c:pt idx="22">
                  <c:v>0.79197393243011494</c:v>
                </c:pt>
                <c:pt idx="23">
                  <c:v>0.79801277501774304</c:v>
                </c:pt>
                <c:pt idx="24">
                  <c:v>0.75828291558628635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5C-4C03-9A72-935588C115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733280"/>
        <c:axId val="328734720"/>
      </c:lineChart>
      <c:catAx>
        <c:axId val="328733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8734720"/>
        <c:crosses val="autoZero"/>
        <c:auto val="1"/>
        <c:lblAlgn val="ctr"/>
        <c:lblOffset val="100"/>
        <c:noMultiLvlLbl val="0"/>
      </c:catAx>
      <c:valAx>
        <c:axId val="32873472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8733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'Historical trend ass. Lat_visu'!$A$222</c:f>
              <c:strCache>
                <c:ptCount val="1"/>
                <c:pt idx="0">
                  <c:v>Total consumption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'Historical trend ass. Lat_visu'!$B$221:$Y$221</c:f>
              <c:numCache>
                <c:formatCode>General</c:formatCod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numCache>
            </c:numRef>
          </c:cat>
          <c:val>
            <c:numRef>
              <c:f>'Historical trend ass. Lat_visu'!$B$222:$Y$222</c:f>
              <c:numCache>
                <c:formatCode>#,##0</c:formatCode>
                <c:ptCount val="24"/>
                <c:pt idx="0">
                  <c:v>6686</c:v>
                </c:pt>
                <c:pt idx="1">
                  <c:v>7109</c:v>
                </c:pt>
                <c:pt idx="2">
                  <c:v>7212</c:v>
                </c:pt>
                <c:pt idx="3">
                  <c:v>7296</c:v>
                </c:pt>
                <c:pt idx="4">
                  <c:v>7781</c:v>
                </c:pt>
                <c:pt idx="5">
                  <c:v>8199</c:v>
                </c:pt>
                <c:pt idx="6">
                  <c:v>8627</c:v>
                </c:pt>
                <c:pt idx="7">
                  <c:v>8416</c:v>
                </c:pt>
                <c:pt idx="8">
                  <c:v>8983</c:v>
                </c:pt>
                <c:pt idx="9">
                  <c:v>8302</c:v>
                </c:pt>
                <c:pt idx="10">
                  <c:v>9694</c:v>
                </c:pt>
                <c:pt idx="11">
                  <c:v>9607</c:v>
                </c:pt>
                <c:pt idx="12">
                  <c:v>10540</c:v>
                </c:pt>
                <c:pt idx="13">
                  <c:v>9934</c:v>
                </c:pt>
                <c:pt idx="14">
                  <c:v>10120</c:v>
                </c:pt>
                <c:pt idx="15" formatCode="0">
                  <c:v>9161.8809999999994</c:v>
                </c:pt>
                <c:pt idx="16" formatCode="0">
                  <c:v>8710.3310000000001</c:v>
                </c:pt>
                <c:pt idx="17" formatCode="0">
                  <c:v>9226.1560000000009</c:v>
                </c:pt>
                <c:pt idx="18" formatCode="0">
                  <c:v>10441.941999999999</c:v>
                </c:pt>
                <c:pt idx="19" formatCode="0">
                  <c:v>9917.0669999999991</c:v>
                </c:pt>
                <c:pt idx="20" formatCode="0">
                  <c:v>10128.358</c:v>
                </c:pt>
                <c:pt idx="21" formatCode="0">
                  <c:v>10398.605</c:v>
                </c:pt>
                <c:pt idx="22" formatCode="0">
                  <c:v>10550.441999999999</c:v>
                </c:pt>
                <c:pt idx="23" formatCode="0">
                  <c:v>10715.771000000001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AC-45DF-B42D-69C33B9AF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06232736"/>
        <c:axId val="2106231296"/>
      </c:barChart>
      <c:lineChart>
        <c:grouping val="standard"/>
        <c:varyColors val="0"/>
        <c:ser>
          <c:idx val="1"/>
          <c:order val="1"/>
          <c:tx>
            <c:strRef>
              <c:f>'Historical trend ass. Lat_visu'!$A$223</c:f>
              <c:strCache>
                <c:ptCount val="1"/>
                <c:pt idx="0">
                  <c:v>Electricity share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'Historical trend ass. Lat_visu'!$B$221:$Y$221</c:f>
              <c:numCache>
                <c:formatCode>General</c:formatCod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numCache>
            </c:numRef>
          </c:cat>
          <c:val>
            <c:numRef>
              <c:f>'Historical trend ass. Lat_visu'!$B$223:$Y$223</c:f>
              <c:numCache>
                <c:formatCode>0%</c:formatCode>
                <c:ptCount val="24"/>
                <c:pt idx="0">
                  <c:v>0.21430945653980388</c:v>
                </c:pt>
                <c:pt idx="1">
                  <c:v>0.21732504981830969</c:v>
                </c:pt>
                <c:pt idx="2">
                  <c:v>0.21157846082736306</c:v>
                </c:pt>
                <c:pt idx="3">
                  <c:v>0.21998020254321177</c:v>
                </c:pt>
                <c:pt idx="4">
                  <c:v>0.20998893291921031</c:v>
                </c:pt>
                <c:pt idx="5">
                  <c:v>0.20734516872204906</c:v>
                </c:pt>
                <c:pt idx="6">
                  <c:v>0.20388974755280787</c:v>
                </c:pt>
                <c:pt idx="7">
                  <c:v>0.21574969470939637</c:v>
                </c:pt>
                <c:pt idx="8">
                  <c:v>0.19</c:v>
                </c:pt>
                <c:pt idx="9">
                  <c:v>0.18</c:v>
                </c:pt>
                <c:pt idx="10">
                  <c:v>0.16</c:v>
                </c:pt>
                <c:pt idx="11">
                  <c:v>0.17</c:v>
                </c:pt>
                <c:pt idx="12">
                  <c:v>0.19</c:v>
                </c:pt>
                <c:pt idx="13">
                  <c:v>0.18</c:v>
                </c:pt>
                <c:pt idx="14">
                  <c:v>0.16</c:v>
                </c:pt>
                <c:pt idx="15">
                  <c:v>0.18587886046544375</c:v>
                </c:pt>
                <c:pt idx="16">
                  <c:v>0.19138193485414046</c:v>
                </c:pt>
                <c:pt idx="17">
                  <c:v>0.19104857971185399</c:v>
                </c:pt>
                <c:pt idx="18">
                  <c:v>0.17640080743601144</c:v>
                </c:pt>
                <c:pt idx="19">
                  <c:v>0.18615322453705316</c:v>
                </c:pt>
                <c:pt idx="20">
                  <c:v>0.18399793925135743</c:v>
                </c:pt>
                <c:pt idx="21">
                  <c:v>0.18714048663258198</c:v>
                </c:pt>
                <c:pt idx="22">
                  <c:v>0.17518412972650815</c:v>
                </c:pt>
                <c:pt idx="23">
                  <c:v>0.16338656359864354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3AC-45DF-B42D-69C33B9AF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6229856"/>
        <c:axId val="2106228416"/>
      </c:lineChart>
      <c:catAx>
        <c:axId val="2106232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06231296"/>
        <c:crosses val="autoZero"/>
        <c:auto val="1"/>
        <c:lblAlgn val="ctr"/>
        <c:lblOffset val="100"/>
        <c:noMultiLvlLbl val="0"/>
      </c:catAx>
      <c:valAx>
        <c:axId val="2106231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06232736"/>
        <c:crosses val="autoZero"/>
        <c:crossBetween val="between"/>
      </c:valAx>
      <c:valAx>
        <c:axId val="2106228416"/>
        <c:scaling>
          <c:orientation val="minMax"/>
          <c:max val="1"/>
        </c:scaling>
        <c:delete val="0"/>
        <c:axPos val="r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06229856"/>
        <c:crosses val="max"/>
        <c:crossBetween val="between"/>
      </c:valAx>
      <c:catAx>
        <c:axId val="210622985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1062284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'Historical trend ass. Lat_visu'!$A$227</c:f>
              <c:strCache>
                <c:ptCount val="1"/>
                <c:pt idx="0">
                  <c:v>Total consumption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'Historical trend ass. Lat_visu'!$B$226:$Y$226</c:f>
              <c:numCache>
                <c:formatCode>General</c:formatCod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numCache>
            </c:numRef>
          </c:cat>
          <c:val>
            <c:numRef>
              <c:f>'Historical trend ass. Lat_visu'!$B$227:$Y$227</c:f>
              <c:numCache>
                <c:formatCode>0</c:formatCode>
                <c:ptCount val="24"/>
                <c:pt idx="0">
                  <c:v>8410.8400620000011</c:v>
                </c:pt>
                <c:pt idx="1">
                  <c:v>9915.0079320000004</c:v>
                </c:pt>
                <c:pt idx="2">
                  <c:v>10170.008136</c:v>
                </c:pt>
                <c:pt idx="3">
                  <c:v>10708.064122000002</c:v>
                </c:pt>
                <c:pt idx="4">
                  <c:v>11234.453432</c:v>
                </c:pt>
                <c:pt idx="5">
                  <c:v>11746.120508000002</c:v>
                </c:pt>
                <c:pt idx="6">
                  <c:v>12963.899260000002</c:v>
                </c:pt>
                <c:pt idx="7">
                  <c:v>14595.011676000002</c:v>
                </c:pt>
                <c:pt idx="8" formatCode="#,##0">
                  <c:v>15175</c:v>
                </c:pt>
                <c:pt idx="9" formatCode="#,##0">
                  <c:v>13445</c:v>
                </c:pt>
                <c:pt idx="10" formatCode="#,##0">
                  <c:v>14126</c:v>
                </c:pt>
                <c:pt idx="11" formatCode="#,##0">
                  <c:v>12773</c:v>
                </c:pt>
                <c:pt idx="12" formatCode="#,##0">
                  <c:v>12420</c:v>
                </c:pt>
                <c:pt idx="13" formatCode="#,##0">
                  <c:v>12588</c:v>
                </c:pt>
                <c:pt idx="14" formatCode="#,##0">
                  <c:v>12860</c:v>
                </c:pt>
                <c:pt idx="15">
                  <c:v>12067.875</c:v>
                </c:pt>
                <c:pt idx="16">
                  <c:v>12020.325000000001</c:v>
                </c:pt>
                <c:pt idx="17">
                  <c:v>12569.985000000001</c:v>
                </c:pt>
                <c:pt idx="18">
                  <c:v>12894.473</c:v>
                </c:pt>
                <c:pt idx="19">
                  <c:v>12779.851000000001</c:v>
                </c:pt>
                <c:pt idx="20">
                  <c:v>12159.168</c:v>
                </c:pt>
                <c:pt idx="21">
                  <c:v>12526.236000000001</c:v>
                </c:pt>
                <c:pt idx="22">
                  <c:v>11887.102999999999</c:v>
                </c:pt>
                <c:pt idx="23">
                  <c:v>11881.374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4E-40A2-A13D-910D6C1108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90377792"/>
        <c:axId val="890376352"/>
      </c:barChart>
      <c:lineChart>
        <c:grouping val="standard"/>
        <c:varyColors val="0"/>
        <c:ser>
          <c:idx val="1"/>
          <c:order val="1"/>
          <c:tx>
            <c:strRef>
              <c:f>'Historical trend ass. Lat_visu'!$A$228</c:f>
              <c:strCache>
                <c:ptCount val="1"/>
                <c:pt idx="0">
                  <c:v>Electricity share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'Historical trend ass. Lat_visu'!$B$226:$Y$226</c:f>
              <c:numCache>
                <c:formatCode>General</c:formatCod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numCache>
            </c:numRef>
          </c:cat>
          <c:val>
            <c:numRef>
              <c:f>'Historical trend ass. Lat_visu'!$B$228:$Y$228</c:f>
              <c:numCache>
                <c:formatCode>0.0%</c:formatCode>
                <c:ptCount val="24"/>
                <c:pt idx="0">
                  <c:v>1.8065325803362065E-2</c:v>
                </c:pt>
                <c:pt idx="1">
                  <c:v>1.7425897910012887E-2</c:v>
                </c:pt>
                <c:pt idx="2">
                  <c:v>1.4148366655741287E-2</c:v>
                </c:pt>
                <c:pt idx="3">
                  <c:v>1.2685153959895197E-2</c:v>
                </c:pt>
                <c:pt idx="4">
                  <c:v>1.2362773217288103E-2</c:v>
                </c:pt>
                <c:pt idx="5">
                  <c:v>1.2580996074350849E-2</c:v>
                </c:pt>
                <c:pt idx="6">
                  <c:v>1.1570602099850009E-2</c:v>
                </c:pt>
                <c:pt idx="7">
                  <c:v>9.5732937459556168E-3</c:v>
                </c:pt>
                <c:pt idx="8">
                  <c:v>8.9999999999999993E-3</c:v>
                </c:pt>
                <c:pt idx="9">
                  <c:v>8.9999999999999993E-3</c:v>
                </c:pt>
                <c:pt idx="10">
                  <c:v>8.9999999999999993E-3</c:v>
                </c:pt>
                <c:pt idx="11">
                  <c:v>0.01</c:v>
                </c:pt>
                <c:pt idx="12">
                  <c:v>0.01</c:v>
                </c:pt>
                <c:pt idx="13">
                  <c:v>0.01</c:v>
                </c:pt>
                <c:pt idx="14">
                  <c:v>8.9999999999999993E-3</c:v>
                </c:pt>
                <c:pt idx="15">
                  <c:v>8.7836508084480486E-3</c:v>
                </c:pt>
                <c:pt idx="16">
                  <c:v>8.7352047469598359E-3</c:v>
                </c:pt>
                <c:pt idx="17">
                  <c:v>8.3253082640910078E-3</c:v>
                </c:pt>
                <c:pt idx="18">
                  <c:v>8.0312704520766384E-3</c:v>
                </c:pt>
                <c:pt idx="19">
                  <c:v>7.8824862668586664E-3</c:v>
                </c:pt>
                <c:pt idx="20">
                  <c:v>7.7560405448793869E-3</c:v>
                </c:pt>
                <c:pt idx="21">
                  <c:v>7.7999488433716235E-3</c:v>
                </c:pt>
                <c:pt idx="22">
                  <c:v>8.5174663667001126E-3</c:v>
                </c:pt>
                <c:pt idx="23" formatCode="0.00%">
                  <c:v>9.0306053828454521E-3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4E-40A2-A13D-910D6C1108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0381152"/>
        <c:axId val="890371072"/>
      </c:lineChart>
      <c:catAx>
        <c:axId val="890377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0376352"/>
        <c:crosses val="autoZero"/>
        <c:auto val="1"/>
        <c:lblAlgn val="ctr"/>
        <c:lblOffset val="100"/>
        <c:noMultiLvlLbl val="0"/>
      </c:catAx>
      <c:valAx>
        <c:axId val="890376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0377792"/>
        <c:crosses val="autoZero"/>
        <c:crossBetween val="between"/>
      </c:valAx>
      <c:valAx>
        <c:axId val="890371072"/>
        <c:scaling>
          <c:orientation val="minMax"/>
          <c:max val="1"/>
        </c:scaling>
        <c:delete val="0"/>
        <c:axPos val="r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0381152"/>
        <c:crosses val="max"/>
        <c:crossBetween val="between"/>
      </c:valAx>
      <c:catAx>
        <c:axId val="89038115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903710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'Historical trend ass. Lat_visu'!$A$232</c:f>
              <c:strCache>
                <c:ptCount val="1"/>
                <c:pt idx="0">
                  <c:v>Total consumption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'Historical trend ass. Lat_visu'!$B$231:$Y$231</c:f>
              <c:numCache>
                <c:formatCode>General</c:formatCod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numCache>
            </c:numRef>
          </c:cat>
          <c:val>
            <c:numRef>
              <c:f>'Historical trend ass. Lat_visu'!$B$232:$Y$232</c:f>
              <c:numCache>
                <c:formatCode>0</c:formatCode>
                <c:ptCount val="24"/>
                <c:pt idx="0">
                  <c:v>20927.794520000003</c:v>
                </c:pt>
                <c:pt idx="1">
                  <c:v>22613.073646000001</c:v>
                </c:pt>
                <c:pt idx="2">
                  <c:v>22865.018292000004</c:v>
                </c:pt>
                <c:pt idx="3">
                  <c:v>24004.185870000001</c:v>
                </c:pt>
                <c:pt idx="4">
                  <c:v>24070.019256000003</c:v>
                </c:pt>
                <c:pt idx="5">
                  <c:v>24413.630642000004</c:v>
                </c:pt>
                <c:pt idx="6">
                  <c:v>24618.353028000005</c:v>
                </c:pt>
                <c:pt idx="7">
                  <c:v>24904.742146000004</c:v>
                </c:pt>
                <c:pt idx="8" formatCode="#,##0">
                  <c:v>23987</c:v>
                </c:pt>
                <c:pt idx="9" formatCode="#,##0">
                  <c:v>24523</c:v>
                </c:pt>
                <c:pt idx="10" formatCode="#,##0">
                  <c:v>23144</c:v>
                </c:pt>
                <c:pt idx="11" formatCode="#,##0">
                  <c:v>21942</c:v>
                </c:pt>
                <c:pt idx="12" formatCode="#,##0">
                  <c:v>23259</c:v>
                </c:pt>
                <c:pt idx="13" formatCode="#,##0">
                  <c:v>21759</c:v>
                </c:pt>
                <c:pt idx="14" formatCode="#,##0">
                  <c:v>21500</c:v>
                </c:pt>
                <c:pt idx="15" formatCode="#,##0">
                  <c:v>19702</c:v>
                </c:pt>
                <c:pt idx="16" formatCode="#,##0">
                  <c:v>20243</c:v>
                </c:pt>
                <c:pt idx="17" formatCode="#,##0">
                  <c:v>20994</c:v>
                </c:pt>
                <c:pt idx="18" formatCode="#,##0">
                  <c:v>21199</c:v>
                </c:pt>
                <c:pt idx="19" formatCode="#,##0">
                  <c:v>20428</c:v>
                </c:pt>
                <c:pt idx="20" formatCode="#,##0">
                  <c:v>19383</c:v>
                </c:pt>
                <c:pt idx="21" formatCode="#,##0">
                  <c:v>20939</c:v>
                </c:pt>
                <c:pt idx="22" formatCode="#,##0">
                  <c:v>19589</c:v>
                </c:pt>
                <c:pt idx="23" formatCode="#,##0">
                  <c:v>18750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E1-4D39-B415-2C24F79220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2316016"/>
        <c:axId val="522313616"/>
      </c:barChart>
      <c:lineChart>
        <c:grouping val="standard"/>
        <c:varyColors val="0"/>
        <c:ser>
          <c:idx val="1"/>
          <c:order val="1"/>
          <c:tx>
            <c:strRef>
              <c:f>'Historical trend ass. Lat_visu'!$A$233</c:f>
              <c:strCache>
                <c:ptCount val="1"/>
                <c:pt idx="0">
                  <c:v>Electricity share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'Historical trend ass. Lat_visu'!$B$231:$Y$231</c:f>
              <c:numCache>
                <c:formatCode>General</c:formatCod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numCache>
            </c:numRef>
          </c:cat>
          <c:val>
            <c:numRef>
              <c:f>'Historical trend ass. Lat_visu'!$B$233:$Y$233</c:f>
              <c:numCache>
                <c:formatCode>0%</c:formatCode>
                <c:ptCount val="24"/>
                <c:pt idx="0">
                  <c:v>0.13</c:v>
                </c:pt>
                <c:pt idx="1">
                  <c:v>0.12</c:v>
                </c:pt>
                <c:pt idx="2">
                  <c:v>0.13</c:v>
                </c:pt>
                <c:pt idx="3">
                  <c:v>0.14000000000000001</c:v>
                </c:pt>
                <c:pt idx="4">
                  <c:v>0.14000000000000001</c:v>
                </c:pt>
                <c:pt idx="5">
                  <c:v>0.15</c:v>
                </c:pt>
                <c:pt idx="6">
                  <c:v>0.16</c:v>
                </c:pt>
                <c:pt idx="7">
                  <c:v>0.18</c:v>
                </c:pt>
                <c:pt idx="8">
                  <c:v>0.19</c:v>
                </c:pt>
                <c:pt idx="9">
                  <c:v>0.18</c:v>
                </c:pt>
                <c:pt idx="10">
                  <c:v>0.19</c:v>
                </c:pt>
                <c:pt idx="11">
                  <c:v>0.19</c:v>
                </c:pt>
                <c:pt idx="12">
                  <c:v>0.2</c:v>
                </c:pt>
                <c:pt idx="13">
                  <c:v>0.21</c:v>
                </c:pt>
                <c:pt idx="14">
                  <c:v>0.22</c:v>
                </c:pt>
                <c:pt idx="15">
                  <c:v>0.23</c:v>
                </c:pt>
                <c:pt idx="16">
                  <c:v>0.22</c:v>
                </c:pt>
                <c:pt idx="17">
                  <c:v>0.21</c:v>
                </c:pt>
                <c:pt idx="18">
                  <c:v>0.21</c:v>
                </c:pt>
                <c:pt idx="19">
                  <c:v>0.22</c:v>
                </c:pt>
                <c:pt idx="20">
                  <c:v>0.22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E1-4D39-B415-2C24F79220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1988608"/>
        <c:axId val="522312176"/>
      </c:lineChart>
      <c:catAx>
        <c:axId val="522316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313616"/>
        <c:crosses val="autoZero"/>
        <c:auto val="1"/>
        <c:lblAlgn val="ctr"/>
        <c:lblOffset val="100"/>
        <c:noMultiLvlLbl val="0"/>
      </c:catAx>
      <c:valAx>
        <c:axId val="522313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316016"/>
        <c:crosses val="autoZero"/>
        <c:crossBetween val="between"/>
      </c:valAx>
      <c:valAx>
        <c:axId val="522312176"/>
        <c:scaling>
          <c:orientation val="minMax"/>
          <c:max val="1"/>
        </c:scaling>
        <c:delete val="0"/>
        <c:axPos val="r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1988608"/>
        <c:crosses val="max"/>
        <c:crossBetween val="between"/>
      </c:valAx>
      <c:catAx>
        <c:axId val="53198860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5223121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'Historical trend ass. Lat_visu'!$B$191</c:f>
              <c:strCache>
                <c:ptCount val="1"/>
                <c:pt idx="0">
                  <c:v>Electricity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'Historical trend ass. Lat_visu'!$A$192:$A$216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Lat_visu'!$B$192:$B$216</c:f>
              <c:numCache>
                <c:formatCode>0</c:formatCode>
                <c:ptCount val="25"/>
                <c:pt idx="0">
                  <c:v>4476.948026</c:v>
                </c:pt>
                <c:pt idx="1">
                  <c:v>4582</c:v>
                </c:pt>
                <c:pt idx="2">
                  <c:v>4881</c:v>
                </c:pt>
                <c:pt idx="3">
                  <c:v>5200</c:v>
                </c:pt>
                <c:pt idx="4">
                  <c:v>5404</c:v>
                </c:pt>
                <c:pt idx="5">
                  <c:v>5729</c:v>
                </c:pt>
                <c:pt idx="6">
                  <c:v>6142</c:v>
                </c:pt>
                <c:pt idx="7">
                  <c:v>6605</c:v>
                </c:pt>
                <c:pt idx="8">
                  <c:v>6628</c:v>
                </c:pt>
                <c:pt idx="9">
                  <c:v>6103</c:v>
                </c:pt>
                <c:pt idx="10">
                  <c:v>6215</c:v>
                </c:pt>
                <c:pt idx="11">
                  <c:v>6191</c:v>
                </c:pt>
                <c:pt idx="12">
                  <c:v>6848</c:v>
                </c:pt>
                <c:pt idx="13">
                  <c:v>6576</c:v>
                </c:pt>
                <c:pt idx="14">
                  <c:v>6583</c:v>
                </c:pt>
                <c:pt idx="15">
                  <c:v>6462</c:v>
                </c:pt>
                <c:pt idx="16">
                  <c:v>6482</c:v>
                </c:pt>
                <c:pt idx="17">
                  <c:v>6485</c:v>
                </c:pt>
                <c:pt idx="18">
                  <c:v>6662</c:v>
                </c:pt>
                <c:pt idx="19">
                  <c:v>6636</c:v>
                </c:pt>
                <c:pt idx="20">
                  <c:v>6484</c:v>
                </c:pt>
                <c:pt idx="21">
                  <c:v>6701</c:v>
                </c:pt>
                <c:pt idx="22">
                  <c:v>6465</c:v>
                </c:pt>
                <c:pt idx="23">
                  <c:v>6281</c:v>
                </c:pt>
                <c:pt idx="24">
                  <c:v>6513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74-423E-A212-CECA9F6936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14665200"/>
        <c:axId val="814662320"/>
      </c:barChart>
      <c:lineChart>
        <c:grouping val="standard"/>
        <c:varyColors val="0"/>
        <c:ser>
          <c:idx val="1"/>
          <c:order val="1"/>
          <c:tx>
            <c:strRef>
              <c:f>'Historical trend ass. Lat_visu'!$C$191</c:f>
              <c:strCache>
                <c:ptCount val="1"/>
                <c:pt idx="0">
                  <c:v>Proportion of total final energy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'Historical trend ass. Lat_visu'!$A$192:$A$216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Lat_visu'!$C$192:$C$216</c:f>
              <c:numCache>
                <c:formatCode>0%</c:formatCode>
                <c:ptCount val="25"/>
                <c:pt idx="0">
                  <c:v>0.116685007674264</c:v>
                </c:pt>
                <c:pt idx="1">
                  <c:v>0.10925755458573121</c:v>
                </c:pt>
                <c:pt idx="2">
                  <c:v>0.11456303085216644</c:v>
                </c:pt>
                <c:pt idx="3">
                  <c:v>0.11654310843868462</c:v>
                </c:pt>
                <c:pt idx="4">
                  <c:v>0.11791589385508722</c:v>
                </c:pt>
                <c:pt idx="5">
                  <c:v>0.12128554206239527</c:v>
                </c:pt>
                <c:pt idx="6">
                  <c:v>0.12472223162216732</c:v>
                </c:pt>
                <c:pt idx="7">
                  <c:v>0.12948876413671434</c:v>
                </c:pt>
                <c:pt idx="8">
                  <c:v>0.13</c:v>
                </c:pt>
                <c:pt idx="9">
                  <c:v>0.13</c:v>
                </c:pt>
                <c:pt idx="10">
                  <c:v>0.13</c:v>
                </c:pt>
                <c:pt idx="11">
                  <c:v>0.13</c:v>
                </c:pt>
                <c:pt idx="12">
                  <c:v>0.14000000000000001</c:v>
                </c:pt>
                <c:pt idx="13">
                  <c:v>0.14000000000000001</c:v>
                </c:pt>
                <c:pt idx="14">
                  <c:v>0.14000000000000001</c:v>
                </c:pt>
                <c:pt idx="15">
                  <c:v>0.14000000000000001</c:v>
                </c:pt>
                <c:pt idx="16">
                  <c:v>0.14000000000000001</c:v>
                </c:pt>
                <c:pt idx="17">
                  <c:v>0.14000000000000001</c:v>
                </c:pt>
                <c:pt idx="18">
                  <c:v>0.13</c:v>
                </c:pt>
                <c:pt idx="19">
                  <c:v>0.14000000000000001</c:v>
                </c:pt>
                <c:pt idx="20">
                  <c:v>0.14000000000000001</c:v>
                </c:pt>
                <c:pt idx="21">
                  <c:v>0.14000000000000001</c:v>
                </c:pt>
                <c:pt idx="22">
                  <c:v>0.14000000000000001</c:v>
                </c:pt>
                <c:pt idx="23">
                  <c:v>0.14000000000000001</c:v>
                </c:pt>
                <c:pt idx="24">
                  <c:v>0.14000000000000001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74-423E-A212-CECA9F6936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4666160"/>
        <c:axId val="814654640"/>
      </c:lineChart>
      <c:catAx>
        <c:axId val="814665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4662320"/>
        <c:crosses val="autoZero"/>
        <c:auto val="1"/>
        <c:lblAlgn val="ctr"/>
        <c:lblOffset val="100"/>
        <c:noMultiLvlLbl val="0"/>
      </c:catAx>
      <c:valAx>
        <c:axId val="814662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4665200"/>
        <c:crosses val="autoZero"/>
        <c:crossBetween val="between"/>
      </c:valAx>
      <c:valAx>
        <c:axId val="814654640"/>
        <c:scaling>
          <c:orientation val="minMax"/>
          <c:max val="1"/>
        </c:scaling>
        <c:delete val="0"/>
        <c:axPos val="r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4666160"/>
        <c:crosses val="max"/>
        <c:crossBetween val="between"/>
      </c:valAx>
      <c:catAx>
        <c:axId val="81466616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146546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'Historical trend ass. Lat_visu'!$B$264</c:f>
              <c:strCache>
                <c:ptCount val="1"/>
                <c:pt idx="0">
                  <c:v>MWh/Per capita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'Historical trend ass. Lat_visu'!$A$265:$A$289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Lat_visu'!$B$265:$B$289</c:f>
              <c:numCache>
                <c:formatCode>0.0</c:formatCode>
                <c:ptCount val="25"/>
                <c:pt idx="0">
                  <c:v>2.0819999999999999</c:v>
                </c:pt>
                <c:pt idx="1">
                  <c:v>2.2130000000000001</c:v>
                </c:pt>
                <c:pt idx="2">
                  <c:v>2.3069999999999999</c:v>
                </c:pt>
                <c:pt idx="3">
                  <c:v>2.4940000000000002</c:v>
                </c:pt>
                <c:pt idx="4">
                  <c:v>2.6080000000000001</c:v>
                </c:pt>
                <c:pt idx="5">
                  <c:v>2.7770000000000001</c:v>
                </c:pt>
                <c:pt idx="6">
                  <c:v>2.9660000000000002</c:v>
                </c:pt>
                <c:pt idx="7">
                  <c:v>3.1680000000000001</c:v>
                </c:pt>
                <c:pt idx="8">
                  <c:v>3.2120000000000002</c:v>
                </c:pt>
                <c:pt idx="9">
                  <c:v>3.0259999999999998</c:v>
                </c:pt>
                <c:pt idx="10">
                  <c:v>3.2309999999999999</c:v>
                </c:pt>
                <c:pt idx="11">
                  <c:v>3.2650000000000001</c:v>
                </c:pt>
                <c:pt idx="12">
                  <c:v>3.589</c:v>
                </c:pt>
                <c:pt idx="13">
                  <c:v>3.472</c:v>
                </c:pt>
                <c:pt idx="14">
                  <c:v>3.5059999999999998</c:v>
                </c:pt>
                <c:pt idx="15">
                  <c:v>3.492</c:v>
                </c:pt>
                <c:pt idx="16">
                  <c:v>3.5640000000000001</c:v>
                </c:pt>
                <c:pt idx="17">
                  <c:v>3.6030000000000002</c:v>
                </c:pt>
                <c:pt idx="18">
                  <c:v>3.7309999999999999</c:v>
                </c:pt>
                <c:pt idx="19">
                  <c:v>3.7269999999999999</c:v>
                </c:pt>
                <c:pt idx="20">
                  <c:v>3.6680000000000001</c:v>
                </c:pt>
                <c:pt idx="21">
                  <c:v>3.8370000000000002</c:v>
                </c:pt>
                <c:pt idx="22">
                  <c:v>3.702</c:v>
                </c:pt>
                <c:pt idx="23">
                  <c:v>3.62</c:v>
                </c:pt>
                <c:pt idx="24">
                  <c:v>3.778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B8-439D-B991-AC3E2CD661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747071"/>
        <c:axId val="333742751"/>
      </c:lineChart>
      <c:catAx>
        <c:axId val="3337470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3742751"/>
        <c:crosses val="autoZero"/>
        <c:auto val="1"/>
        <c:lblAlgn val="ctr"/>
        <c:lblOffset val="100"/>
        <c:noMultiLvlLbl val="0"/>
      </c:catAx>
      <c:valAx>
        <c:axId val="3337427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MWh/Per capita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37470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'Historical trend ass. Lat_visu'!$B$236</c:f>
              <c:strCache>
                <c:ptCount val="1"/>
                <c:pt idx="0">
                  <c:v>Coal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'Historical trend ass. Lat_visu'!$A$237:$A$261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Lat_visu'!$B$237:$B$261</c:f>
              <c:numCache>
                <c:formatCode>0</c:formatCode>
                <c:ptCount val="25"/>
                <c:pt idx="0">
                  <c:v>716</c:v>
                </c:pt>
                <c:pt idx="1">
                  <c:v>946</c:v>
                </c:pt>
                <c:pt idx="2">
                  <c:v>778</c:v>
                </c:pt>
                <c:pt idx="3">
                  <c:v>693</c:v>
                </c:pt>
                <c:pt idx="4">
                  <c:v>681</c:v>
                </c:pt>
                <c:pt idx="5">
                  <c:v>853</c:v>
                </c:pt>
                <c:pt idx="6">
                  <c:v>933</c:v>
                </c:pt>
                <c:pt idx="7">
                  <c:v>1089</c:v>
                </c:pt>
                <c:pt idx="8">
                  <c:v>1067</c:v>
                </c:pt>
                <c:pt idx="9">
                  <c:v>828</c:v>
                </c:pt>
                <c:pt idx="10">
                  <c:v>1095</c:v>
                </c:pt>
                <c:pt idx="11">
                  <c:v>1139</c:v>
                </c:pt>
                <c:pt idx="12">
                  <c:v>906</c:v>
                </c:pt>
                <c:pt idx="13">
                  <c:v>693</c:v>
                </c:pt>
                <c:pt idx="14">
                  <c:v>629</c:v>
                </c:pt>
                <c:pt idx="15">
                  <c:v>499</c:v>
                </c:pt>
                <c:pt idx="16">
                  <c:v>415</c:v>
                </c:pt>
                <c:pt idx="17">
                  <c:v>429</c:v>
                </c:pt>
                <c:pt idx="18">
                  <c:v>493</c:v>
                </c:pt>
                <c:pt idx="19">
                  <c:v>426</c:v>
                </c:pt>
                <c:pt idx="20">
                  <c:v>261</c:v>
                </c:pt>
                <c:pt idx="21">
                  <c:v>195</c:v>
                </c:pt>
                <c:pt idx="22">
                  <c:v>136</c:v>
                </c:pt>
                <c:pt idx="23">
                  <c:v>141</c:v>
                </c:pt>
                <c:pt idx="24">
                  <c:v>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C3-4A79-98F7-6D3E4498E461}"/>
            </c:ext>
          </c:extLst>
        </c:ser>
        <c:ser>
          <c:idx val="1"/>
          <c:order val="1"/>
          <c:tx>
            <c:strRef>
              <c:f>'Historical trend ass. Lat_visu'!$C$236</c:f>
              <c:strCache>
                <c:ptCount val="1"/>
                <c:pt idx="0">
                  <c:v>Oil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'Historical trend ass. Lat_visu'!$A$237:$A$261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Lat_visu'!$C$237:$C$261</c:f>
              <c:numCache>
                <c:formatCode>0</c:formatCode>
                <c:ptCount val="25"/>
                <c:pt idx="0">
                  <c:v>12809.454692000001</c:v>
                </c:pt>
                <c:pt idx="1">
                  <c:v>13770.288794000002</c:v>
                </c:pt>
                <c:pt idx="2">
                  <c:v>14026.40011</c:v>
                </c:pt>
                <c:pt idx="3">
                  <c:v>14939.456396000001</c:v>
                </c:pt>
                <c:pt idx="4">
                  <c:v>15489.456836000001</c:v>
                </c:pt>
                <c:pt idx="5">
                  <c:v>15890.846046000001</c:v>
                </c:pt>
                <c:pt idx="6">
                  <c:v>17525.014020000002</c:v>
                </c:pt>
                <c:pt idx="7">
                  <c:v>19024.737442000001</c:v>
                </c:pt>
                <c:pt idx="8">
                  <c:v>19011.959654000002</c:v>
                </c:pt>
                <c:pt idx="9">
                  <c:v>16986.402478000004</c:v>
                </c:pt>
                <c:pt idx="10">
                  <c:v>17676.125252000002</c:v>
                </c:pt>
                <c:pt idx="11">
                  <c:v>16305.846378</c:v>
                </c:pt>
                <c:pt idx="12">
                  <c:v>16039.457276000001</c:v>
                </c:pt>
                <c:pt idx="13">
                  <c:v>16329.735286000001</c:v>
                </c:pt>
                <c:pt idx="14">
                  <c:v>16476.40207</c:v>
                </c:pt>
                <c:pt idx="15">
                  <c:v>17316.680520000002</c:v>
                </c:pt>
                <c:pt idx="16">
                  <c:v>17354.458328000004</c:v>
                </c:pt>
                <c:pt idx="17">
                  <c:v>18201.125672000002</c:v>
                </c:pt>
                <c:pt idx="18">
                  <c:v>18607.792664000004</c:v>
                </c:pt>
                <c:pt idx="19">
                  <c:v>18385.292486000002</c:v>
                </c:pt>
                <c:pt idx="20">
                  <c:v>16729.180050000003</c:v>
                </c:pt>
                <c:pt idx="21">
                  <c:v>17585.291846</c:v>
                </c:pt>
                <c:pt idx="22">
                  <c:v>18061.403338</c:v>
                </c:pt>
                <c:pt idx="23">
                  <c:v>18342.236896000002</c:v>
                </c:pt>
                <c:pt idx="24">
                  <c:v>17061.680316000002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C3-4A79-98F7-6D3E4498E461}"/>
            </c:ext>
          </c:extLst>
        </c:ser>
        <c:ser>
          <c:idx val="2"/>
          <c:order val="2"/>
          <c:tx>
            <c:strRef>
              <c:f>'Historical trend ass. Lat_visu'!$D$236</c:f>
              <c:strCache>
                <c:ptCount val="1"/>
                <c:pt idx="0">
                  <c:v>Gas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'Historical trend ass. Lat_visu'!$A$237:$A$261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Lat_visu'!$D$237:$D$261</c:f>
              <c:numCache>
                <c:formatCode>0</c:formatCode>
                <c:ptCount val="25"/>
                <c:pt idx="0">
                  <c:v>3823.3363920000002</c:v>
                </c:pt>
                <c:pt idx="1">
                  <c:v>4532.225848</c:v>
                </c:pt>
                <c:pt idx="2">
                  <c:v>5199.4486040000002</c:v>
                </c:pt>
                <c:pt idx="3">
                  <c:v>5306.9486900000002</c:v>
                </c:pt>
                <c:pt idx="4">
                  <c:v>5721.1156880000008</c:v>
                </c:pt>
                <c:pt idx="5">
                  <c:v>5906.9491700000008</c:v>
                </c:pt>
                <c:pt idx="6">
                  <c:v>5971.6714440000005</c:v>
                </c:pt>
                <c:pt idx="7">
                  <c:v>6082.5048660000002</c:v>
                </c:pt>
                <c:pt idx="8">
                  <c:v>5828.8935520000005</c:v>
                </c:pt>
                <c:pt idx="9">
                  <c:v>5026.1151320000008</c:v>
                </c:pt>
                <c:pt idx="10">
                  <c:v>5798.6157500000008</c:v>
                </c:pt>
                <c:pt idx="11">
                  <c:v>4622.5036980000004</c:v>
                </c:pt>
                <c:pt idx="12">
                  <c:v>4688.6148620000004</c:v>
                </c:pt>
                <c:pt idx="13">
                  <c:v>4004.7254260000004</c:v>
                </c:pt>
                <c:pt idx="14">
                  <c:v>3806.9474900000005</c:v>
                </c:pt>
                <c:pt idx="15">
                  <c:v>3690.0029520000003</c:v>
                </c:pt>
                <c:pt idx="16">
                  <c:v>3784.4474720000003</c:v>
                </c:pt>
                <c:pt idx="17">
                  <c:v>3823.6141700000003</c:v>
                </c:pt>
                <c:pt idx="18">
                  <c:v>4012.7809880000004</c:v>
                </c:pt>
                <c:pt idx="19">
                  <c:v>3772.5030180000003</c:v>
                </c:pt>
                <c:pt idx="20">
                  <c:v>3765.0030120000001</c:v>
                </c:pt>
                <c:pt idx="21">
                  <c:v>4097.7810560000007</c:v>
                </c:pt>
                <c:pt idx="22">
                  <c:v>3469.1694420000003</c:v>
                </c:pt>
                <c:pt idx="23">
                  <c:v>3139.4469560000002</c:v>
                </c:pt>
                <c:pt idx="24">
                  <c:v>3257.7803840000001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C3-4A79-98F7-6D3E4498E461}"/>
            </c:ext>
          </c:extLst>
        </c:ser>
        <c:ser>
          <c:idx val="3"/>
          <c:order val="3"/>
          <c:tx>
            <c:strRef>
              <c:f>'Historical trend ass. Lat_visu'!$E$236</c:f>
              <c:strCache>
                <c:ptCount val="1"/>
                <c:pt idx="0">
                  <c:v>Other renewables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'Historical trend ass. Lat_visu'!$A$237:$A$261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Lat_visu'!$E$237:$E$261</c:f>
              <c:numCache>
                <c:formatCode>0</c:formatCode>
                <c:ptCount val="25"/>
                <c:pt idx="0">
                  <c:v>9583.0632220000007</c:v>
                </c:pt>
                <c:pt idx="1">
                  <c:v>10641.119624000001</c:v>
                </c:pt>
                <c:pt idx="2">
                  <c:v>10365.28607</c:v>
                </c:pt>
                <c:pt idx="3">
                  <c:v>10956.119876000001</c:v>
                </c:pt>
                <c:pt idx="4">
                  <c:v>11610.842622000002</c:v>
                </c:pt>
                <c:pt idx="5">
                  <c:v>11838.898360000001</c:v>
                </c:pt>
                <c:pt idx="6">
                  <c:v>11845.287254000001</c:v>
                </c:pt>
                <c:pt idx="7">
                  <c:v>11609.453732000002</c:v>
                </c:pt>
                <c:pt idx="8">
                  <c:v>10945.008756000003</c:v>
                </c:pt>
                <c:pt idx="9">
                  <c:v>12779.454668000002</c:v>
                </c:pt>
                <c:pt idx="10">
                  <c:v>11321.675724000002</c:v>
                </c:pt>
                <c:pt idx="11">
                  <c:v>12088.620782000002</c:v>
                </c:pt>
                <c:pt idx="12">
                  <c:v>13280.843958000003</c:v>
                </c:pt>
                <c:pt idx="13">
                  <c:v>12459.732189999999</c:v>
                </c:pt>
                <c:pt idx="14">
                  <c:v>12911.399218000002</c:v>
                </c:pt>
                <c:pt idx="15">
                  <c:v>11586.953714000001</c:v>
                </c:pt>
                <c:pt idx="16">
                  <c:v>10794.175302000001</c:v>
                </c:pt>
                <c:pt idx="17">
                  <c:v>11706.120476000002</c:v>
                </c:pt>
                <c:pt idx="18">
                  <c:v>12983.343719999999</c:v>
                </c:pt>
                <c:pt idx="19">
                  <c:v>12528.621134000003</c:v>
                </c:pt>
                <c:pt idx="20">
                  <c:v>12240.287570000002</c:v>
                </c:pt>
                <c:pt idx="21">
                  <c:v>12408.898816000003</c:v>
                </c:pt>
                <c:pt idx="22">
                  <c:v>12509.176674000002</c:v>
                </c:pt>
                <c:pt idx="23">
                  <c:v>12509.176674</c:v>
                </c:pt>
                <c:pt idx="24">
                  <c:v>12904.732546000001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6C3-4A79-98F7-6D3E4498E461}"/>
            </c:ext>
          </c:extLst>
        </c:ser>
        <c:ser>
          <c:idx val="4"/>
          <c:order val="4"/>
          <c:tx>
            <c:strRef>
              <c:f>'Historical trend ass. Lat_visu'!$F$236</c:f>
              <c:strCache>
                <c:ptCount val="1"/>
                <c:pt idx="0">
                  <c:v>Heat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'Historical trend ass. Lat_visu'!$A$237:$A$261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Lat_visu'!$F$237:$F$261</c:f>
              <c:numCache>
                <c:formatCode>0</c:formatCode>
                <c:ptCount val="25"/>
                <c:pt idx="0">
                  <c:v>6958.6166780000003</c:v>
                </c:pt>
                <c:pt idx="1">
                  <c:v>7471.9504220000008</c:v>
                </c:pt>
                <c:pt idx="2">
                  <c:v>7362.7836680000009</c:v>
                </c:pt>
                <c:pt idx="3">
                  <c:v>7529.7282460000006</c:v>
                </c:pt>
                <c:pt idx="4">
                  <c:v>6921.949982000001</c:v>
                </c:pt>
                <c:pt idx="5">
                  <c:v>7016.1167240000004</c:v>
                </c:pt>
                <c:pt idx="6">
                  <c:v>6833.8943560000007</c:v>
                </c:pt>
                <c:pt idx="7">
                  <c:v>6603.6163940000006</c:v>
                </c:pt>
                <c:pt idx="8">
                  <c:v>6220.0049760000002</c:v>
                </c:pt>
                <c:pt idx="9">
                  <c:v>6169.1716020000003</c:v>
                </c:pt>
                <c:pt idx="10">
                  <c:v>6686.6720160000004</c:v>
                </c:pt>
                <c:pt idx="11">
                  <c:v>5804.4490880000003</c:v>
                </c:pt>
                <c:pt idx="12">
                  <c:v>6220.2827540000008</c:v>
                </c:pt>
                <c:pt idx="13">
                  <c:v>6027.2270440000002</c:v>
                </c:pt>
                <c:pt idx="14">
                  <c:v>5871.9491420000004</c:v>
                </c:pt>
                <c:pt idx="15">
                  <c:v>5861.3935780000002</c:v>
                </c:pt>
                <c:pt idx="16">
                  <c:v>6758.8942960000004</c:v>
                </c:pt>
                <c:pt idx="17">
                  <c:v>7033.6167380000006</c:v>
                </c:pt>
                <c:pt idx="18">
                  <c:v>6998.3389320000006</c:v>
                </c:pt>
                <c:pt idx="19">
                  <c:v>6756.6720720000003</c:v>
                </c:pt>
                <c:pt idx="20">
                  <c:v>6452.2273840000007</c:v>
                </c:pt>
                <c:pt idx="21">
                  <c:v>7483.6170980000006</c:v>
                </c:pt>
                <c:pt idx="22">
                  <c:v>6565.5608080000002</c:v>
                </c:pt>
                <c:pt idx="23">
                  <c:v>6092.5048740000002</c:v>
                </c:pt>
                <c:pt idx="24">
                  <c:v>6151.9493660000007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6C3-4A79-98F7-6D3E4498E461}"/>
            </c:ext>
          </c:extLst>
        </c:ser>
        <c:ser>
          <c:idx val="5"/>
          <c:order val="5"/>
          <c:tx>
            <c:strRef>
              <c:f>'Historical trend ass. Lat_visu'!$G$236</c:f>
              <c:strCache>
                <c:ptCount val="1"/>
                <c:pt idx="0">
                  <c:v>Electricity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'Historical trend ass. Lat_visu'!$A$237:$A$261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Lat_visu'!$G$237:$G$261</c:f>
              <c:numCache>
                <c:formatCode>0</c:formatCode>
                <c:ptCount val="25"/>
                <c:pt idx="0">
                  <c:v>4477</c:v>
                </c:pt>
                <c:pt idx="1">
                  <c:v>4582</c:v>
                </c:pt>
                <c:pt idx="2">
                  <c:v>4881</c:v>
                </c:pt>
                <c:pt idx="3">
                  <c:v>5200</c:v>
                </c:pt>
                <c:pt idx="4">
                  <c:v>5404</c:v>
                </c:pt>
                <c:pt idx="5">
                  <c:v>5729</c:v>
                </c:pt>
                <c:pt idx="6">
                  <c:v>6142</c:v>
                </c:pt>
                <c:pt idx="7">
                  <c:v>6605</c:v>
                </c:pt>
                <c:pt idx="8">
                  <c:v>6628</c:v>
                </c:pt>
                <c:pt idx="9">
                  <c:v>6103</c:v>
                </c:pt>
                <c:pt idx="10">
                  <c:v>6215</c:v>
                </c:pt>
                <c:pt idx="11">
                  <c:v>6191</c:v>
                </c:pt>
                <c:pt idx="12">
                  <c:v>6848</c:v>
                </c:pt>
                <c:pt idx="13">
                  <c:v>6576</c:v>
                </c:pt>
                <c:pt idx="14">
                  <c:v>6583</c:v>
                </c:pt>
                <c:pt idx="15">
                  <c:v>6462</c:v>
                </c:pt>
                <c:pt idx="16">
                  <c:v>6482</c:v>
                </c:pt>
                <c:pt idx="17">
                  <c:v>6485</c:v>
                </c:pt>
                <c:pt idx="18">
                  <c:v>6662</c:v>
                </c:pt>
                <c:pt idx="19">
                  <c:v>6636</c:v>
                </c:pt>
                <c:pt idx="20">
                  <c:v>6484</c:v>
                </c:pt>
                <c:pt idx="21">
                  <c:v>6701</c:v>
                </c:pt>
                <c:pt idx="22">
                  <c:v>6465</c:v>
                </c:pt>
                <c:pt idx="23">
                  <c:v>6281</c:v>
                </c:pt>
                <c:pt idx="24">
                  <c:v>6513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6C3-4A79-98F7-6D3E4498E4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09192431"/>
        <c:axId val="409187631"/>
      </c:barChart>
      <c:lineChart>
        <c:grouping val="stacked"/>
        <c:varyColors val="0"/>
        <c:ser>
          <c:idx val="6"/>
          <c:order val="6"/>
          <c:tx>
            <c:strRef>
              <c:f>'Historical trend ass. Lat_visu'!$H$236</c:f>
              <c:strCache>
                <c:ptCount val="1"/>
                <c:pt idx="0">
                  <c:v>Proportion of electricity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'Historical trend ass. Lat_visu'!$H$237:$H$261</c:f>
              <c:numCache>
                <c:formatCode>0%</c:formatCode>
                <c:ptCount val="25"/>
                <c:pt idx="0">
                  <c:v>0.11668738869619523</c:v>
                </c:pt>
                <c:pt idx="1">
                  <c:v>0.10924197428721211</c:v>
                </c:pt>
                <c:pt idx="2">
                  <c:v>0.11454272970057308</c:v>
                </c:pt>
                <c:pt idx="3">
                  <c:v>0.1165259494610059</c:v>
                </c:pt>
                <c:pt idx="4">
                  <c:v>0.1179182365529834</c:v>
                </c:pt>
                <c:pt idx="5">
                  <c:v>0.12128766821786094</c:v>
                </c:pt>
                <c:pt idx="6">
                  <c:v>0.1247084643356953</c:v>
                </c:pt>
                <c:pt idx="7">
                  <c:v>0.12947346901019685</c:v>
                </c:pt>
                <c:pt idx="8">
                  <c:v>0.13334039723420393</c:v>
                </c:pt>
                <c:pt idx="9">
                  <c:v>0.12741395393039001</c:v>
                </c:pt>
                <c:pt idx="10">
                  <c:v>0.12735671212720634</c:v>
                </c:pt>
                <c:pt idx="11">
                  <c:v>0.1341266234899452</c:v>
                </c:pt>
                <c:pt idx="12">
                  <c:v>0.14269875420684267</c:v>
                </c:pt>
                <c:pt idx="13">
                  <c:v>0.14265746906130525</c:v>
                </c:pt>
                <c:pt idx="14">
                  <c:v>0.14222833666830761</c:v>
                </c:pt>
                <c:pt idx="15">
                  <c:v>0.142246787861008</c:v>
                </c:pt>
                <c:pt idx="16">
                  <c:v>0.14216468144106983</c:v>
                </c:pt>
                <c:pt idx="17">
                  <c:v>0.13599712905077088</c:v>
                </c:pt>
                <c:pt idx="18">
                  <c:v>0.13387261210535467</c:v>
                </c:pt>
                <c:pt idx="19">
                  <c:v>0.13681038786827115</c:v>
                </c:pt>
                <c:pt idx="20">
                  <c:v>0.14187606796394406</c:v>
                </c:pt>
                <c:pt idx="21">
                  <c:v>0.13824593259026954</c:v>
                </c:pt>
                <c:pt idx="22">
                  <c:v>0.13691546310343586</c:v>
                </c:pt>
                <c:pt idx="23">
                  <c:v>0.13485505062942529</c:v>
                </c:pt>
                <c:pt idx="24">
                  <c:v>0.14154651541452076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6C3-4A79-98F7-6D3E4498E4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0876400"/>
        <c:axId val="1080864880"/>
      </c:lineChart>
      <c:catAx>
        <c:axId val="4091924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9187631"/>
        <c:crosses val="autoZero"/>
        <c:auto val="1"/>
        <c:lblAlgn val="ctr"/>
        <c:lblOffset val="100"/>
        <c:noMultiLvlLbl val="0"/>
      </c:catAx>
      <c:valAx>
        <c:axId val="409187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9192431"/>
        <c:crosses val="autoZero"/>
        <c:crossBetween val="between"/>
      </c:valAx>
      <c:valAx>
        <c:axId val="1080864880"/>
        <c:scaling>
          <c:orientation val="minMax"/>
          <c:max val="1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0876400"/>
        <c:crosses val="max"/>
        <c:crossBetween val="between"/>
      </c:valAx>
      <c:catAx>
        <c:axId val="1080876400"/>
        <c:scaling>
          <c:orientation val="minMax"/>
        </c:scaling>
        <c:delete val="1"/>
        <c:axPos val="b"/>
        <c:majorTickMark val="out"/>
        <c:minorTickMark val="none"/>
        <c:tickLblPos val="nextTo"/>
        <c:crossAx val="10808648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tx>
            <c:strRef>
              <c:f>'Historical trend ass. Lat_visu'!$C$135</c:f>
              <c:strCache>
                <c:ptCount val="1"/>
                <c:pt idx="0">
                  <c:v>Coal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'Historical trend ass. Lat_visu'!$A$136:$A$160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Lat_visu'!$C$136:$C$160</c:f>
              <c:numCache>
                <c:formatCode>General</c:formatCode>
                <c:ptCount val="25"/>
                <c:pt idx="0">
                  <c:v>78</c:v>
                </c:pt>
                <c:pt idx="1">
                  <c:v>42</c:v>
                </c:pt>
                <c:pt idx="2">
                  <c:v>38</c:v>
                </c:pt>
                <c:pt idx="3">
                  <c:v>22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7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54-4D14-B88E-8B1D42C8F9FB}"/>
            </c:ext>
          </c:extLst>
        </c:ser>
        <c:ser>
          <c:idx val="4"/>
          <c:order val="2"/>
          <c:tx>
            <c:strRef>
              <c:f>'Historical trend ass. Lat_visu'!$D$135</c:f>
              <c:strCache>
                <c:ptCount val="1"/>
                <c:pt idx="0">
                  <c:v>wood chips and waste</c:v>
                </c:pt>
              </c:strCache>
            </c:strRef>
          </c:tx>
          <c:spPr>
            <a:solidFill>
              <a:schemeClr val="accent5"/>
            </a:solidFill>
            <a:ln w="25400">
              <a:noFill/>
            </a:ln>
            <a:effectLst/>
          </c:spPr>
          <c:cat>
            <c:numRef>
              <c:f>'Historical trend ass. Lat_visu'!$A$136:$A$160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Lat_visu'!$D$136:$D$160</c:f>
              <c:numCache>
                <c:formatCode>General</c:formatCode>
                <c:ptCount val="25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7</c:v>
                </c:pt>
                <c:pt idx="7">
                  <c:v>5</c:v>
                </c:pt>
                <c:pt idx="8">
                  <c:v>5</c:v>
                </c:pt>
                <c:pt idx="9">
                  <c:v>4</c:v>
                </c:pt>
                <c:pt idx="10">
                  <c:v>9</c:v>
                </c:pt>
                <c:pt idx="11">
                  <c:v>13</c:v>
                </c:pt>
                <c:pt idx="12">
                  <c:v>65</c:v>
                </c:pt>
                <c:pt idx="13">
                  <c:v>215</c:v>
                </c:pt>
                <c:pt idx="14">
                  <c:v>319</c:v>
                </c:pt>
                <c:pt idx="15">
                  <c:v>378</c:v>
                </c:pt>
                <c:pt idx="16">
                  <c:v>427</c:v>
                </c:pt>
                <c:pt idx="17">
                  <c:v>525</c:v>
                </c:pt>
                <c:pt idx="18">
                  <c:v>570</c:v>
                </c:pt>
                <c:pt idx="19">
                  <c:v>575</c:v>
                </c:pt>
                <c:pt idx="20">
                  <c:v>520</c:v>
                </c:pt>
                <c:pt idx="21">
                  <c:v>570</c:v>
                </c:pt>
                <c:pt idx="22">
                  <c:v>552</c:v>
                </c:pt>
                <c:pt idx="23">
                  <c:v>477</c:v>
                </c:pt>
                <c:pt idx="24">
                  <c:v>457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54-4D14-B88E-8B1D42C8F9FB}"/>
            </c:ext>
          </c:extLst>
        </c:ser>
        <c:ser>
          <c:idx val="5"/>
          <c:order val="3"/>
          <c:tx>
            <c:strRef>
              <c:f>'Historical trend ass. Lat_visu'!$E$135</c:f>
              <c:strCache>
                <c:ptCount val="1"/>
                <c:pt idx="0">
                  <c:v>Oil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cat>
            <c:numRef>
              <c:f>'Historical trend ass. Lat_visu'!$A$136:$A$160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Lat_visu'!$E$136:$E$160</c:f>
              <c:numCache>
                <c:formatCode>General</c:formatCode>
                <c:ptCount val="25"/>
                <c:pt idx="0">
                  <c:v>107</c:v>
                </c:pt>
                <c:pt idx="1">
                  <c:v>95</c:v>
                </c:pt>
                <c:pt idx="2">
                  <c:v>139</c:v>
                </c:pt>
                <c:pt idx="3">
                  <c:v>82</c:v>
                </c:pt>
                <c:pt idx="4">
                  <c:v>60</c:v>
                </c:pt>
                <c:pt idx="5">
                  <c:v>6</c:v>
                </c:pt>
                <c:pt idx="6">
                  <c:v>5</c:v>
                </c:pt>
                <c:pt idx="7">
                  <c:v>17</c:v>
                </c:pt>
                <c:pt idx="8">
                  <c:v>2</c:v>
                </c:pt>
                <c:pt idx="9">
                  <c:v>4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  <c:pt idx="13">
                  <c:v>2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3</c:v>
                </c:pt>
                <c:pt idx="23">
                  <c:v>2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C54-4D14-B88E-8B1D42C8F9FB}"/>
            </c:ext>
          </c:extLst>
        </c:ser>
        <c:ser>
          <c:idx val="8"/>
          <c:order val="4"/>
          <c:tx>
            <c:strRef>
              <c:f>'Historical trend ass. Lat_visu'!$F$135</c:f>
              <c:strCache>
                <c:ptCount val="1"/>
                <c:pt idx="0">
                  <c:v>Natural Gas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25400">
              <a:noFill/>
            </a:ln>
            <a:effectLst/>
          </c:spPr>
          <c:cat>
            <c:numRef>
              <c:f>'Historical trend ass. Lat_visu'!$A$136:$A$160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Lat_visu'!$F$136:$F$160</c:f>
              <c:numCache>
                <c:formatCode>#,##0</c:formatCode>
                <c:ptCount val="25"/>
                <c:pt idx="0">
                  <c:v>1128</c:v>
                </c:pt>
                <c:pt idx="1">
                  <c:v>1304</c:v>
                </c:pt>
                <c:pt idx="2">
                  <c:v>1313</c:v>
                </c:pt>
                <c:pt idx="3">
                  <c:v>1533</c:v>
                </c:pt>
                <c:pt idx="4">
                  <c:v>1433</c:v>
                </c:pt>
                <c:pt idx="5">
                  <c:v>1486</c:v>
                </c:pt>
                <c:pt idx="6">
                  <c:v>2100</c:v>
                </c:pt>
                <c:pt idx="7">
                  <c:v>1925</c:v>
                </c:pt>
                <c:pt idx="8">
                  <c:v>2058</c:v>
                </c:pt>
                <c:pt idx="9">
                  <c:v>2007</c:v>
                </c:pt>
                <c:pt idx="10">
                  <c:v>2988</c:v>
                </c:pt>
                <c:pt idx="11">
                  <c:v>3014</c:v>
                </c:pt>
                <c:pt idx="12">
                  <c:v>2055</c:v>
                </c:pt>
                <c:pt idx="13">
                  <c:v>2670</c:v>
                </c:pt>
                <c:pt idx="14">
                  <c:v>2337</c:v>
                </c:pt>
                <c:pt idx="15">
                  <c:v>2756</c:v>
                </c:pt>
                <c:pt idx="16">
                  <c:v>2944</c:v>
                </c:pt>
                <c:pt idx="17">
                  <c:v>2068</c:v>
                </c:pt>
                <c:pt idx="18">
                  <c:v>3218</c:v>
                </c:pt>
                <c:pt idx="19">
                  <c:v>3245</c:v>
                </c:pt>
                <c:pt idx="20">
                  <c:v>2075</c:v>
                </c:pt>
                <c:pt idx="21">
                  <c:v>2128</c:v>
                </c:pt>
                <c:pt idx="22">
                  <c:v>1210</c:v>
                </c:pt>
                <c:pt idx="23">
                  <c:v>1421</c:v>
                </c:pt>
                <c:pt idx="24">
                  <c:v>1678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C54-4D14-B88E-8B1D42C8F9FB}"/>
            </c:ext>
          </c:extLst>
        </c:ser>
        <c:ser>
          <c:idx val="9"/>
          <c:order val="5"/>
          <c:tx>
            <c:strRef>
              <c:f>'Historical trend ass. Lat_visu'!$G$135</c:f>
              <c:strCache>
                <c:ptCount val="1"/>
                <c:pt idx="0">
                  <c:v>Biogases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cat>
            <c:numRef>
              <c:f>'Historical trend ass. Lat_visu'!$A$136:$A$160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Lat_visu'!$G$136:$G$160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5</c:v>
                </c:pt>
                <c:pt idx="3">
                  <c:v>18</c:v>
                </c:pt>
                <c:pt idx="4">
                  <c:v>32</c:v>
                </c:pt>
                <c:pt idx="5">
                  <c:v>36</c:v>
                </c:pt>
                <c:pt idx="6">
                  <c:v>36</c:v>
                </c:pt>
                <c:pt idx="7">
                  <c:v>37</c:v>
                </c:pt>
                <c:pt idx="8">
                  <c:v>40</c:v>
                </c:pt>
                <c:pt idx="9">
                  <c:v>44</c:v>
                </c:pt>
                <c:pt idx="10">
                  <c:v>57</c:v>
                </c:pt>
                <c:pt idx="11">
                  <c:v>105</c:v>
                </c:pt>
                <c:pt idx="12">
                  <c:v>223</c:v>
                </c:pt>
                <c:pt idx="13">
                  <c:v>288</c:v>
                </c:pt>
                <c:pt idx="14">
                  <c:v>350</c:v>
                </c:pt>
                <c:pt idx="15">
                  <c:v>392</c:v>
                </c:pt>
                <c:pt idx="16">
                  <c:v>397</c:v>
                </c:pt>
                <c:pt idx="17">
                  <c:v>405</c:v>
                </c:pt>
                <c:pt idx="18">
                  <c:v>374</c:v>
                </c:pt>
                <c:pt idx="19">
                  <c:v>353</c:v>
                </c:pt>
                <c:pt idx="20">
                  <c:v>345</c:v>
                </c:pt>
                <c:pt idx="21">
                  <c:v>292</c:v>
                </c:pt>
                <c:pt idx="22">
                  <c:v>250</c:v>
                </c:pt>
                <c:pt idx="23">
                  <c:v>182</c:v>
                </c:pt>
                <c:pt idx="24">
                  <c:v>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C54-4D14-B88E-8B1D42C8F9FB}"/>
            </c:ext>
          </c:extLst>
        </c:ser>
        <c:ser>
          <c:idx val="11"/>
          <c:order val="6"/>
          <c:tx>
            <c:strRef>
              <c:f>'Historical trend ass. Lat_visu'!$H$135</c:f>
              <c:strCache>
                <c:ptCount val="1"/>
                <c:pt idx="0">
                  <c:v>Biofuels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 w="25400">
              <a:noFill/>
            </a:ln>
            <a:effectLst/>
          </c:spPr>
          <c:cat>
            <c:numRef>
              <c:f>'Historical trend ass. Lat_visu'!$A$136:$A$160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Lat_visu'!$H$136:$H$160</c:f>
              <c:numCache>
                <c:formatCode>General</c:formatCode>
                <c:ptCount val="25"/>
                <c:pt idx="0">
                  <c:v>0</c:v>
                </c:pt>
                <c:pt idx="1">
                  <c:v>3</c:v>
                </c:pt>
                <c:pt idx="2">
                  <c:v>10</c:v>
                </c:pt>
                <c:pt idx="3">
                  <c:v>24</c:v>
                </c:pt>
                <c:pt idx="4">
                  <c:v>38</c:v>
                </c:pt>
                <c:pt idx="5">
                  <c:v>41</c:v>
                </c:pt>
                <c:pt idx="6">
                  <c:v>42</c:v>
                </c:pt>
                <c:pt idx="7">
                  <c:v>42</c:v>
                </c:pt>
                <c:pt idx="8">
                  <c:v>44</c:v>
                </c:pt>
                <c:pt idx="9">
                  <c:v>49</c:v>
                </c:pt>
                <c:pt idx="10">
                  <c:v>66</c:v>
                </c:pt>
                <c:pt idx="11">
                  <c:v>119</c:v>
                </c:pt>
                <c:pt idx="12">
                  <c:v>288</c:v>
                </c:pt>
                <c:pt idx="13">
                  <c:v>502</c:v>
                </c:pt>
                <c:pt idx="14">
                  <c:v>669</c:v>
                </c:pt>
                <c:pt idx="15">
                  <c:v>769</c:v>
                </c:pt>
                <c:pt idx="16">
                  <c:v>823</c:v>
                </c:pt>
                <c:pt idx="17">
                  <c:v>930</c:v>
                </c:pt>
                <c:pt idx="18">
                  <c:v>943</c:v>
                </c:pt>
                <c:pt idx="19">
                  <c:v>927</c:v>
                </c:pt>
                <c:pt idx="20">
                  <c:v>864</c:v>
                </c:pt>
                <c:pt idx="21">
                  <c:v>861</c:v>
                </c:pt>
                <c:pt idx="22">
                  <c:v>801</c:v>
                </c:pt>
                <c:pt idx="23">
                  <c:v>659</c:v>
                </c:pt>
                <c:pt idx="24">
                  <c:v>621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C54-4D14-B88E-8B1D42C8F9FB}"/>
            </c:ext>
          </c:extLst>
        </c:ser>
        <c:ser>
          <c:idx val="13"/>
          <c:order val="7"/>
          <c:tx>
            <c:strRef>
              <c:f>'Historical trend ass. Lat_visu'!$I$135</c:f>
              <c:strCache>
                <c:ptCount val="1"/>
                <c:pt idx="0">
                  <c:v>Hydro energy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 w="25400">
              <a:noFill/>
            </a:ln>
            <a:effectLst/>
          </c:spPr>
          <c:cat>
            <c:numRef>
              <c:f>'Historical trend ass. Lat_visu'!$A$136:$A$160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Lat_visu'!$I$136:$I$160</c:f>
              <c:numCache>
                <c:formatCode>#,##0</c:formatCode>
                <c:ptCount val="25"/>
                <c:pt idx="0">
                  <c:v>2819</c:v>
                </c:pt>
                <c:pt idx="1">
                  <c:v>2833</c:v>
                </c:pt>
                <c:pt idx="2">
                  <c:v>2464</c:v>
                </c:pt>
                <c:pt idx="3">
                  <c:v>2266</c:v>
                </c:pt>
                <c:pt idx="4">
                  <c:v>3109</c:v>
                </c:pt>
                <c:pt idx="5">
                  <c:v>3325</c:v>
                </c:pt>
                <c:pt idx="6">
                  <c:v>2698</c:v>
                </c:pt>
                <c:pt idx="7">
                  <c:v>2733</c:v>
                </c:pt>
                <c:pt idx="8">
                  <c:v>3109</c:v>
                </c:pt>
                <c:pt idx="9">
                  <c:v>3457</c:v>
                </c:pt>
                <c:pt idx="10">
                  <c:v>3520</c:v>
                </c:pt>
                <c:pt idx="11">
                  <c:v>2887</c:v>
                </c:pt>
                <c:pt idx="12">
                  <c:v>3707</c:v>
                </c:pt>
                <c:pt idx="13">
                  <c:v>2912</c:v>
                </c:pt>
                <c:pt idx="14">
                  <c:v>1993</c:v>
                </c:pt>
                <c:pt idx="15">
                  <c:v>1860</c:v>
                </c:pt>
                <c:pt idx="16">
                  <c:v>2530</c:v>
                </c:pt>
                <c:pt idx="17">
                  <c:v>4381</c:v>
                </c:pt>
                <c:pt idx="18">
                  <c:v>2432</c:v>
                </c:pt>
                <c:pt idx="19">
                  <c:v>2108</c:v>
                </c:pt>
                <c:pt idx="20">
                  <c:v>2603</c:v>
                </c:pt>
                <c:pt idx="21">
                  <c:v>2708</c:v>
                </c:pt>
                <c:pt idx="22">
                  <c:v>2750</c:v>
                </c:pt>
                <c:pt idx="23">
                  <c:v>3794</c:v>
                </c:pt>
                <c:pt idx="24">
                  <c:v>3210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C54-4D14-B88E-8B1D42C8F9FB}"/>
            </c:ext>
          </c:extLst>
        </c:ser>
        <c:ser>
          <c:idx val="14"/>
          <c:order val="8"/>
          <c:tx>
            <c:strRef>
              <c:f>'Historical trend ass. Lat_visu'!$J$135</c:f>
              <c:strCache>
                <c:ptCount val="1"/>
                <c:pt idx="0">
                  <c:v>Wind energy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cat>
            <c:numRef>
              <c:f>'Historical trend ass. Lat_visu'!$A$136:$A$160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Lat_visu'!$J$136:$J$160</c:f>
              <c:numCache>
                <c:formatCode>General</c:formatCode>
                <c:ptCount val="25"/>
                <c:pt idx="0">
                  <c:v>5</c:v>
                </c:pt>
                <c:pt idx="1">
                  <c:v>3</c:v>
                </c:pt>
                <c:pt idx="2">
                  <c:v>11</c:v>
                </c:pt>
                <c:pt idx="3">
                  <c:v>48</c:v>
                </c:pt>
                <c:pt idx="4">
                  <c:v>49</c:v>
                </c:pt>
                <c:pt idx="5">
                  <c:v>47</c:v>
                </c:pt>
                <c:pt idx="6">
                  <c:v>46</c:v>
                </c:pt>
                <c:pt idx="7">
                  <c:v>53</c:v>
                </c:pt>
                <c:pt idx="8">
                  <c:v>59</c:v>
                </c:pt>
                <c:pt idx="9">
                  <c:v>50</c:v>
                </c:pt>
                <c:pt idx="10">
                  <c:v>49</c:v>
                </c:pt>
                <c:pt idx="11">
                  <c:v>71</c:v>
                </c:pt>
                <c:pt idx="12">
                  <c:v>114</c:v>
                </c:pt>
                <c:pt idx="13">
                  <c:v>120</c:v>
                </c:pt>
                <c:pt idx="14">
                  <c:v>139</c:v>
                </c:pt>
                <c:pt idx="15">
                  <c:v>147</c:v>
                </c:pt>
                <c:pt idx="16">
                  <c:v>128</c:v>
                </c:pt>
                <c:pt idx="17">
                  <c:v>150</c:v>
                </c:pt>
                <c:pt idx="18">
                  <c:v>122</c:v>
                </c:pt>
                <c:pt idx="19">
                  <c:v>154</c:v>
                </c:pt>
                <c:pt idx="20">
                  <c:v>177</c:v>
                </c:pt>
                <c:pt idx="21">
                  <c:v>141</c:v>
                </c:pt>
                <c:pt idx="22">
                  <c:v>190</c:v>
                </c:pt>
                <c:pt idx="23">
                  <c:v>271</c:v>
                </c:pt>
                <c:pt idx="24">
                  <c:v>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C54-4D14-B88E-8B1D42C8F9FB}"/>
            </c:ext>
          </c:extLst>
        </c:ser>
        <c:ser>
          <c:idx val="15"/>
          <c:order val="9"/>
          <c:tx>
            <c:strRef>
              <c:f>'Historical trend ass. Lat_visu'!$K$135</c:f>
              <c:strCache>
                <c:ptCount val="1"/>
                <c:pt idx="0">
                  <c:v>Solar energy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cat>
            <c:numRef>
              <c:f>'Historical trend ass. Lat_visu'!$A$136:$A$160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Lat_visu'!$K$136:$K$160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3</c:v>
                </c:pt>
                <c:pt idx="20">
                  <c:v>5</c:v>
                </c:pt>
                <c:pt idx="21">
                  <c:v>7</c:v>
                </c:pt>
                <c:pt idx="22">
                  <c:v>75</c:v>
                </c:pt>
                <c:pt idx="23">
                  <c:v>239</c:v>
                </c:pt>
                <c:pt idx="24">
                  <c:v>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C54-4D14-B88E-8B1D42C8F9FB}"/>
            </c:ext>
          </c:extLst>
        </c:ser>
        <c:ser>
          <c:idx val="2"/>
          <c:order val="12"/>
          <c:tx>
            <c:strRef>
              <c:f>'Historical trend ass. Lat_visu'!$L$135</c:f>
              <c:strCache>
                <c:ptCount val="1"/>
                <c:pt idx="0">
                  <c:v>Electricity import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val>
            <c:numRef>
              <c:f>'Historical trend ass. Lat_visu'!$L$136:$L$160</c:f>
              <c:numCache>
                <c:formatCode>#,##0</c:formatCode>
                <c:ptCount val="25"/>
                <c:pt idx="0">
                  <c:v>2108</c:v>
                </c:pt>
                <c:pt idx="1">
                  <c:v>2340</c:v>
                </c:pt>
                <c:pt idx="2">
                  <c:v>2838</c:v>
                </c:pt>
                <c:pt idx="3">
                  <c:v>2671</c:v>
                </c:pt>
                <c:pt idx="4">
                  <c:v>2733</c:v>
                </c:pt>
                <c:pt idx="5">
                  <c:v>2855</c:v>
                </c:pt>
                <c:pt idx="6">
                  <c:v>2810</c:v>
                </c:pt>
                <c:pt idx="7">
                  <c:v>4964</c:v>
                </c:pt>
                <c:pt idx="8">
                  <c:v>4643</c:v>
                </c:pt>
                <c:pt idx="9">
                  <c:v>4259</c:v>
                </c:pt>
                <c:pt idx="10">
                  <c:v>3973</c:v>
                </c:pt>
                <c:pt idx="11">
                  <c:v>4009</c:v>
                </c:pt>
                <c:pt idx="12">
                  <c:v>4935</c:v>
                </c:pt>
                <c:pt idx="13">
                  <c:v>5005</c:v>
                </c:pt>
                <c:pt idx="14">
                  <c:v>5340</c:v>
                </c:pt>
                <c:pt idx="15">
                  <c:v>5246</c:v>
                </c:pt>
                <c:pt idx="16">
                  <c:v>4828</c:v>
                </c:pt>
                <c:pt idx="17">
                  <c:v>4073</c:v>
                </c:pt>
                <c:pt idx="18">
                  <c:v>5174</c:v>
                </c:pt>
                <c:pt idx="19">
                  <c:v>4611</c:v>
                </c:pt>
                <c:pt idx="20">
                  <c:v>4173</c:v>
                </c:pt>
                <c:pt idx="21">
                  <c:v>4666</c:v>
                </c:pt>
                <c:pt idx="22">
                  <c:v>5308</c:v>
                </c:pt>
                <c:pt idx="23">
                  <c:v>4075</c:v>
                </c:pt>
                <c:pt idx="24">
                  <c:v>4248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C54-4D14-B88E-8B1D42C8F9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99704239"/>
        <c:axId val="1799703759"/>
        <c:extLst>
          <c:ext xmlns:c15="http://schemas.microsoft.com/office/drawing/2012/chart" uri="{02D57815-91ED-43cb-92C2-25804820EDAC}">
            <c15:filteredArea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'Historical trend ass. Lat_visu'!$B$135</c15:sqref>
                        </c15:formulaRef>
                      </c:ext>
                    </c:extLst>
                    <c:strCache>
                      <c:ptCount val="1"/>
                      <c:pt idx="0">
                        <c:v>Total 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cat>
                  <c:numRef>
                    <c:extLst>
                      <c:ext uri="{02D57815-91ED-43cb-92C2-25804820EDAC}">
                        <c15:formulaRef>
                          <c15:sqref>'Historical trend ass. Lat_visu'!$A$136:$A$160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2020</c:v>
                      </c:pt>
                      <c:pt idx="21">
                        <c:v>2021</c:v>
                      </c:pt>
                      <c:pt idx="22">
                        <c:v>2022</c:v>
                      </c:pt>
                      <c:pt idx="23">
                        <c:v>2023</c:v>
                      </c:pt>
                      <c:pt idx="24">
                        <c:v>2024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'Historical trend ass. Lat_visu'!$B$136:$B$160</c15:sqref>
                        </c15:formulaRef>
                      </c:ext>
                    </c:extLst>
                    <c:numCache>
                      <c:formatCode>#,##0</c:formatCode>
                      <c:ptCount val="25"/>
                      <c:pt idx="0">
                        <c:v>4137</c:v>
                      </c:pt>
                      <c:pt idx="1">
                        <c:v>4283</c:v>
                      </c:pt>
                      <c:pt idx="2">
                        <c:v>3985</c:v>
                      </c:pt>
                      <c:pt idx="3">
                        <c:v>3999</c:v>
                      </c:pt>
                      <c:pt idx="4">
                        <c:v>4727</c:v>
                      </c:pt>
                      <c:pt idx="5">
                        <c:v>4947</c:v>
                      </c:pt>
                      <c:pt idx="6">
                        <c:v>4934</c:v>
                      </c:pt>
                      <c:pt idx="7">
                        <c:v>4813</c:v>
                      </c:pt>
                      <c:pt idx="8">
                        <c:v>5319</c:v>
                      </c:pt>
                      <c:pt idx="9">
                        <c:v>5617</c:v>
                      </c:pt>
                      <c:pt idx="10">
                        <c:v>6693</c:v>
                      </c:pt>
                      <c:pt idx="11">
                        <c:v>6212</c:v>
                      </c:pt>
                      <c:pt idx="12">
                        <c:v>6455</c:v>
                      </c:pt>
                      <c:pt idx="13">
                        <c:v>6712</c:v>
                      </c:pt>
                      <c:pt idx="14">
                        <c:v>5807</c:v>
                      </c:pt>
                      <c:pt idx="15">
                        <c:v>6303</c:v>
                      </c:pt>
                      <c:pt idx="16">
                        <c:v>7249</c:v>
                      </c:pt>
                      <c:pt idx="17">
                        <c:v>8459</c:v>
                      </c:pt>
                      <c:pt idx="18">
                        <c:v>7667</c:v>
                      </c:pt>
                      <c:pt idx="19">
                        <c:v>7365</c:v>
                      </c:pt>
                      <c:pt idx="20">
                        <c:v>6589</c:v>
                      </c:pt>
                      <c:pt idx="21">
                        <c:v>6707</c:v>
                      </c:pt>
                      <c:pt idx="22">
                        <c:v>5831</c:v>
                      </c:pt>
                      <c:pt idx="23">
                        <c:v>7045</c:v>
                      </c:pt>
                      <c:pt idx="24">
                        <c:v>6942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C-BC54-4D14-B88E-8B1D42C8F9FB}"/>
                  </c:ext>
                </c:extLst>
              </c15:ser>
            </c15:filteredAreaSeries>
          </c:ext>
        </c:extLst>
      </c:areaChart>
      <c:lineChart>
        <c:grouping val="standard"/>
        <c:varyColors val="0"/>
        <c:ser>
          <c:idx val="16"/>
          <c:order val="10"/>
          <c:tx>
            <c:strRef>
              <c:f>'Historical trend ass. Lat_visu'!$M$135</c:f>
              <c:strCache>
                <c:ptCount val="1"/>
                <c:pt idx="0">
                  <c:v>Share of fossil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'Historical trend ass. Lat_visu'!$A$136:$A$160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Lat_visu'!$M$136:$M$160</c:f>
              <c:numCache>
                <c:formatCode>0%</c:formatCode>
                <c:ptCount val="25"/>
                <c:pt idx="0">
                  <c:v>0.31737974377568284</c:v>
                </c:pt>
                <c:pt idx="1">
                  <c:v>0.33644641606350689</c:v>
                </c:pt>
                <c:pt idx="2">
                  <c:v>0.37390213299874531</c:v>
                </c:pt>
                <c:pt idx="3">
                  <c:v>0.40935233808452115</c:v>
                </c:pt>
                <c:pt idx="4">
                  <c:v>0.3158451449122065</c:v>
                </c:pt>
                <c:pt idx="5">
                  <c:v>0.3015969274307661</c:v>
                </c:pt>
                <c:pt idx="6">
                  <c:v>0.42663153627888123</c:v>
                </c:pt>
                <c:pt idx="7">
                  <c:v>0.40369831705796799</c:v>
                </c:pt>
                <c:pt idx="8">
                  <c:v>0.38766685467193079</c:v>
                </c:pt>
                <c:pt idx="9">
                  <c:v>0.35837635748620261</c:v>
                </c:pt>
                <c:pt idx="10">
                  <c:v>0.44703421485133721</c:v>
                </c:pt>
                <c:pt idx="11">
                  <c:v>0.48567289117836443</c:v>
                </c:pt>
                <c:pt idx="12">
                  <c:v>0.31882261812548413</c:v>
                </c:pt>
                <c:pt idx="13">
                  <c:v>0.39853992848629322</c:v>
                </c:pt>
                <c:pt idx="14">
                  <c:v>0.40244532460823146</c:v>
                </c:pt>
                <c:pt idx="15">
                  <c:v>0.43741075678248453</c:v>
                </c:pt>
                <c:pt idx="16">
                  <c:v>0.40612498275624226</c:v>
                </c:pt>
                <c:pt idx="17">
                  <c:v>0.24447334200260079</c:v>
                </c:pt>
                <c:pt idx="18">
                  <c:v>0.42063388548323988</c:v>
                </c:pt>
                <c:pt idx="19">
                  <c:v>0.44059742023082143</c:v>
                </c:pt>
                <c:pt idx="20">
                  <c:v>0.31491880406738504</c:v>
                </c:pt>
                <c:pt idx="21">
                  <c:v>0.31728045325779036</c:v>
                </c:pt>
                <c:pt idx="22">
                  <c:v>0.20802606756988509</c:v>
                </c:pt>
                <c:pt idx="23">
                  <c:v>0.20198722498225691</c:v>
                </c:pt>
                <c:pt idx="24">
                  <c:v>0.24171708441371362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C54-4D14-B88E-8B1D42C8F9FB}"/>
            </c:ext>
          </c:extLst>
        </c:ser>
        <c:ser>
          <c:idx val="17"/>
          <c:order val="11"/>
          <c:tx>
            <c:strRef>
              <c:f>'Historical trend ass. Lat_visu'!$N$135</c:f>
              <c:strCache>
                <c:ptCount val="1"/>
                <c:pt idx="0">
                  <c:v>Share of renewable</c:v>
                </c:pt>
              </c:strCache>
            </c:strRef>
          </c:tx>
          <c:spPr>
            <a:ln w="28575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'Historical trend ass. Lat_visu'!$A$136:$A$160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Lat_visu'!$N$136:$N$160</c:f>
              <c:numCache>
                <c:formatCode>0%</c:formatCode>
                <c:ptCount val="25"/>
                <c:pt idx="0">
                  <c:v>0.6826202562243171</c:v>
                </c:pt>
                <c:pt idx="1">
                  <c:v>0.66355358393649311</c:v>
                </c:pt>
                <c:pt idx="2">
                  <c:v>0.62609786700125469</c:v>
                </c:pt>
                <c:pt idx="3">
                  <c:v>0.59064766191547891</c:v>
                </c:pt>
                <c:pt idx="4">
                  <c:v>0.6841548550877935</c:v>
                </c:pt>
                <c:pt idx="5">
                  <c:v>0.69840307256923384</c:v>
                </c:pt>
                <c:pt idx="6">
                  <c:v>0.57336846372111872</c:v>
                </c:pt>
                <c:pt idx="7">
                  <c:v>0.59630168294203201</c:v>
                </c:pt>
                <c:pt idx="8">
                  <c:v>0.61233314532806915</c:v>
                </c:pt>
                <c:pt idx="9">
                  <c:v>0.64162364251379744</c:v>
                </c:pt>
                <c:pt idx="10">
                  <c:v>0.55296578514866279</c:v>
                </c:pt>
                <c:pt idx="11">
                  <c:v>0.51432710882163557</c:v>
                </c:pt>
                <c:pt idx="12">
                  <c:v>0.68117738187451593</c:v>
                </c:pt>
                <c:pt idx="13">
                  <c:v>0.60146007151370684</c:v>
                </c:pt>
                <c:pt idx="14">
                  <c:v>0.59755467539176854</c:v>
                </c:pt>
                <c:pt idx="15">
                  <c:v>0.56258924321751547</c:v>
                </c:pt>
                <c:pt idx="16">
                  <c:v>0.5938750172437578</c:v>
                </c:pt>
                <c:pt idx="17">
                  <c:v>0.75552665799739926</c:v>
                </c:pt>
                <c:pt idx="18">
                  <c:v>0.57936611451676012</c:v>
                </c:pt>
                <c:pt idx="19">
                  <c:v>0.55940257976917851</c:v>
                </c:pt>
                <c:pt idx="20">
                  <c:v>0.68508119593261496</c:v>
                </c:pt>
                <c:pt idx="21">
                  <c:v>0.68271954674220958</c:v>
                </c:pt>
                <c:pt idx="22">
                  <c:v>0.79197393243011494</c:v>
                </c:pt>
                <c:pt idx="23">
                  <c:v>0.79801277501774304</c:v>
                </c:pt>
                <c:pt idx="24">
                  <c:v>0.75828291558628635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BC54-4D14-B88E-8B1D42C8F9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9388991"/>
        <c:axId val="2129378431"/>
      </c:lineChart>
      <c:catAx>
        <c:axId val="179970423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99703759"/>
        <c:crosses val="autoZero"/>
        <c:auto val="1"/>
        <c:lblAlgn val="ctr"/>
        <c:lblOffset val="100"/>
        <c:noMultiLvlLbl val="0"/>
      </c:catAx>
      <c:valAx>
        <c:axId val="17997037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99704239"/>
        <c:crosses val="autoZero"/>
        <c:crossBetween val="between"/>
      </c:valAx>
      <c:valAx>
        <c:axId val="2129378431"/>
        <c:scaling>
          <c:orientation val="minMax"/>
          <c:max val="1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9388991"/>
        <c:crosses val="max"/>
        <c:crossBetween val="between"/>
      </c:valAx>
      <c:catAx>
        <c:axId val="212938899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2937843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'Historical trend ass. Lat_visu'!$A$355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'Historical trend ass. Lat_visu'!$B$354:$M$354</c:f>
              <c:strCach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strCache>
            </c:strRef>
          </c:cat>
          <c:val>
            <c:numRef>
              <c:f>'Historical trend ass. Lat_visu'!$B$355:$M$355</c:f>
              <c:numCache>
                <c:formatCode>#,##0</c:formatCode>
                <c:ptCount val="12"/>
                <c:pt idx="0">
                  <c:v>634600</c:v>
                </c:pt>
                <c:pt idx="1">
                  <c:v>657799</c:v>
                </c:pt>
                <c:pt idx="2">
                  <c:v>679048</c:v>
                </c:pt>
                <c:pt idx="3">
                  <c:v>664177</c:v>
                </c:pt>
                <c:pt idx="4">
                  <c:v>689536</c:v>
                </c:pt>
                <c:pt idx="5">
                  <c:v>707841</c:v>
                </c:pt>
                <c:pt idx="6">
                  <c:v>727164</c:v>
                </c:pt>
                <c:pt idx="7">
                  <c:v>739124</c:v>
                </c:pt>
                <c:pt idx="8">
                  <c:v>758688</c:v>
                </c:pt>
                <c:pt idx="9">
                  <c:v>769723</c:v>
                </c:pt>
                <c:pt idx="10">
                  <c:v>781690</c:v>
                </c:pt>
                <c:pt idx="11">
                  <c:v>788075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82-4579-A254-4DFC8A7DFCB8}"/>
            </c:ext>
          </c:extLst>
        </c:ser>
        <c:ser>
          <c:idx val="1"/>
          <c:order val="1"/>
          <c:tx>
            <c:strRef>
              <c:f>'Historical trend ass. Lat_visu'!$A$356</c:f>
              <c:strCache>
                <c:ptCount val="1"/>
                <c:pt idx="0">
                  <c:v>Electricity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'Historical trend ass. Lat_visu'!$B$354:$M$354</c:f>
              <c:strCach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strCache>
            </c:strRef>
          </c:cat>
          <c:val>
            <c:numRef>
              <c:f>'Historical trend ass. Lat_visu'!$B$356:$M$356</c:f>
              <c:numCache>
                <c:formatCode>#,##0</c:formatCode>
                <c:ptCount val="12"/>
                <c:pt idx="0">
                  <c:v>15</c:v>
                </c:pt>
                <c:pt idx="1">
                  <c:v>188</c:v>
                </c:pt>
                <c:pt idx="2">
                  <c:v>211</c:v>
                </c:pt>
                <c:pt idx="3">
                  <c:v>241</c:v>
                </c:pt>
                <c:pt idx="4">
                  <c:v>312</c:v>
                </c:pt>
                <c:pt idx="5">
                  <c:v>442</c:v>
                </c:pt>
                <c:pt idx="6">
                  <c:v>658</c:v>
                </c:pt>
                <c:pt idx="7">
                  <c:v>1205</c:v>
                </c:pt>
                <c:pt idx="8">
                  <c:v>2106</c:v>
                </c:pt>
                <c:pt idx="9">
                  <c:v>3832</c:v>
                </c:pt>
                <c:pt idx="10">
                  <c:v>6369</c:v>
                </c:pt>
                <c:pt idx="11">
                  <c:v>9234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82-4579-A254-4DFC8A7DFCB8}"/>
            </c:ext>
          </c:extLst>
        </c:ser>
        <c:ser>
          <c:idx val="2"/>
          <c:order val="2"/>
          <c:tx>
            <c:strRef>
              <c:f>'Historical trend ass. Lat_visu'!$A$357</c:f>
              <c:strCache>
                <c:ptCount val="1"/>
                <c:pt idx="0">
                  <c:v>Electric hybrid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'Historical trend ass. Lat_visu'!$B$354:$M$354</c:f>
              <c:strCach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strCache>
            </c:strRef>
          </c:cat>
          <c:val>
            <c:numRef>
              <c:f>'Historical trend ass. Lat_visu'!$B$357:$M$357</c:f>
              <c:numCache>
                <c:formatCode>#,##0</c:formatCode>
                <c:ptCount val="12"/>
                <c:pt idx="0">
                  <c:v>3</c:v>
                </c:pt>
                <c:pt idx="1">
                  <c:v>4</c:v>
                </c:pt>
                <c:pt idx="2">
                  <c:v>12</c:v>
                </c:pt>
                <c:pt idx="3">
                  <c:v>27</c:v>
                </c:pt>
                <c:pt idx="4">
                  <c:v>57</c:v>
                </c:pt>
                <c:pt idx="5">
                  <c:v>89</c:v>
                </c:pt>
                <c:pt idx="6">
                  <c:v>134</c:v>
                </c:pt>
                <c:pt idx="7">
                  <c:v>244</c:v>
                </c:pt>
                <c:pt idx="8">
                  <c:v>490</c:v>
                </c:pt>
                <c:pt idx="9">
                  <c:v>18473</c:v>
                </c:pt>
                <c:pt idx="10">
                  <c:v>25825</c:v>
                </c:pt>
                <c:pt idx="11">
                  <c:v>35258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82-4579-A254-4DFC8A7DFC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45451119"/>
        <c:axId val="1545448239"/>
      </c:barChart>
      <c:catAx>
        <c:axId val="15454511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5448239"/>
        <c:crosses val="autoZero"/>
        <c:auto val="1"/>
        <c:lblAlgn val="ctr"/>
        <c:lblOffset val="100"/>
        <c:noMultiLvlLbl val="0"/>
      </c:catAx>
      <c:valAx>
        <c:axId val="1545448239"/>
        <c:scaling>
          <c:orientation val="minMax"/>
          <c:max val="8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Nb.</a:t>
                </a:r>
                <a:r>
                  <a:rPr lang="en-US" baseline="0"/>
                  <a:t> </a:t>
                </a:r>
                <a:r>
                  <a:rPr lang="en-US"/>
                  <a:t>of cars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54511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'Historical trend ass. Lat_visu'!$A$362</c:f>
              <c:strCache>
                <c:ptCount val="1"/>
                <c:pt idx="0">
                  <c:v>% of electricity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'Historical trend ass. Lat_visu'!$B$361:$M$361</c:f>
              <c:strCach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strCache>
            </c:strRef>
          </c:cat>
          <c:val>
            <c:numRef>
              <c:f>'Historical trend ass. Lat_visu'!$B$362:$M$362</c:f>
              <c:numCache>
                <c:formatCode>0.0%</c:formatCode>
                <c:ptCount val="12"/>
                <c:pt idx="0">
                  <c:v>2.363693665300977E-5</c:v>
                </c:pt>
                <c:pt idx="1">
                  <c:v>2.8580158984735458E-4</c:v>
                </c:pt>
                <c:pt idx="2">
                  <c:v>3.1072913844087604E-4</c:v>
                </c:pt>
                <c:pt idx="3">
                  <c:v>3.6285508230486755E-4</c:v>
                </c:pt>
                <c:pt idx="4">
                  <c:v>4.5247818823092632E-4</c:v>
                </c:pt>
                <c:pt idx="5">
                  <c:v>6.2443401837418292E-4</c:v>
                </c:pt>
                <c:pt idx="6">
                  <c:v>9.0488528034941222E-4</c:v>
                </c:pt>
                <c:pt idx="7">
                  <c:v>1.6303083109194126E-3</c:v>
                </c:pt>
                <c:pt idx="8">
                  <c:v>2.7758446159686194E-3</c:v>
                </c:pt>
                <c:pt idx="9">
                  <c:v>4.9784143126813153E-3</c:v>
                </c:pt>
                <c:pt idx="10">
                  <c:v>8.1477311977894047E-3</c:v>
                </c:pt>
                <c:pt idx="11">
                  <c:v>1.1717158899850902E-2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25-4417-86E6-46CE46BD2D42}"/>
            </c:ext>
          </c:extLst>
        </c:ser>
        <c:ser>
          <c:idx val="1"/>
          <c:order val="1"/>
          <c:tx>
            <c:strRef>
              <c:f>'Historical trend ass. Lat_visu'!$A$363</c:f>
              <c:strCache>
                <c:ptCount val="1"/>
                <c:pt idx="0">
                  <c:v>% of electric hybrid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'Historical trend ass. Lat_visu'!$B$361:$M$361</c:f>
              <c:strCach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strCache>
            </c:strRef>
          </c:cat>
          <c:val>
            <c:numRef>
              <c:f>'Historical trend ass. Lat_visu'!$B$363:$M$363</c:f>
              <c:numCache>
                <c:formatCode>0.0%</c:formatCode>
                <c:ptCount val="12"/>
                <c:pt idx="0">
                  <c:v>4.7273873306019544E-6</c:v>
                </c:pt>
                <c:pt idx="1">
                  <c:v>6.0808848903692468E-6</c:v>
                </c:pt>
                <c:pt idx="2">
                  <c:v>1.7671799342609065E-5</c:v>
                </c:pt>
                <c:pt idx="3">
                  <c:v>4.0651814200130386E-5</c:v>
                </c:pt>
                <c:pt idx="4">
                  <c:v>8.2664284388342309E-5</c:v>
                </c:pt>
                <c:pt idx="5">
                  <c:v>1.2573445166357981E-4</c:v>
                </c:pt>
                <c:pt idx="6">
                  <c:v>1.8427754949364931E-4</c:v>
                </c:pt>
                <c:pt idx="7">
                  <c:v>3.301205210492421E-4</c:v>
                </c:pt>
                <c:pt idx="8">
                  <c:v>6.458517862415117E-4</c:v>
                </c:pt>
                <c:pt idx="9">
                  <c:v>2.3999542692630986E-2</c:v>
                </c:pt>
                <c:pt idx="10">
                  <c:v>3.3037393340070872E-2</c:v>
                </c:pt>
                <c:pt idx="11">
                  <c:v>4.4739396631031311E-2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B25-4417-86E6-46CE46BD2D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1253439"/>
        <c:axId val="1281259679"/>
      </c:lineChart>
      <c:catAx>
        <c:axId val="12812534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1259679"/>
        <c:crosses val="autoZero"/>
        <c:auto val="1"/>
        <c:lblAlgn val="ctr"/>
        <c:lblOffset val="100"/>
        <c:noMultiLvlLbl val="0"/>
      </c:catAx>
      <c:valAx>
        <c:axId val="1281259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12534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'Historical trend ass. Lat_visu'!$A$295</c:f>
              <c:strCache>
                <c:ptCount val="1"/>
                <c:pt idx="0">
                  <c:v> Space heating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'Historical trend ass. Lat_visu'!$B$294:$K$294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'Historical trend ass. Lat_visu'!$B$295:$K$295</c:f>
              <c:numCache>
                <c:formatCode>0</c:formatCode>
                <c:ptCount val="10"/>
                <c:pt idx="0">
                  <c:v>71.871340000000004</c:v>
                </c:pt>
                <c:pt idx="1">
                  <c:v>72.36590200000002</c:v>
                </c:pt>
                <c:pt idx="2">
                  <c:v>73.763964000000016</c:v>
                </c:pt>
                <c:pt idx="3">
                  <c:v>68.147530000000003</c:v>
                </c:pt>
                <c:pt idx="4">
                  <c:v>68.706866000000005</c:v>
                </c:pt>
                <c:pt idx="5">
                  <c:v>67.780292000000003</c:v>
                </c:pt>
                <c:pt idx="6">
                  <c:v>72.329762000000002</c:v>
                </c:pt>
                <c:pt idx="7">
                  <c:v>74.344428000000008</c:v>
                </c:pt>
                <c:pt idx="8">
                  <c:v>69.290388000000007</c:v>
                </c:pt>
                <c:pt idx="9">
                  <c:v>67.800308000000001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39-438A-9700-1138E8631851}"/>
            </c:ext>
          </c:extLst>
        </c:ser>
        <c:ser>
          <c:idx val="2"/>
          <c:order val="1"/>
          <c:tx>
            <c:strRef>
              <c:f>'Historical trend ass. Lat_visu'!$A$296</c:f>
              <c:strCache>
                <c:ptCount val="1"/>
                <c:pt idx="0">
                  <c:v> Space cooling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'Historical trend ass. Lat_visu'!$B$294:$K$294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'Historical trend ass. Lat_visu'!$B$296:$K$296</c:f>
              <c:numCache>
                <c:formatCode>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F39-438A-9700-1138E8631851}"/>
            </c:ext>
          </c:extLst>
        </c:ser>
        <c:ser>
          <c:idx val="3"/>
          <c:order val="2"/>
          <c:tx>
            <c:strRef>
              <c:f>'Historical trend ass. Lat_visu'!$A$297</c:f>
              <c:strCache>
                <c:ptCount val="1"/>
                <c:pt idx="0">
                  <c:v>Water heating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'Historical trend ass. Lat_visu'!$B$294:$K$294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'Historical trend ass. Lat_visu'!$B$297:$K$297</c:f>
              <c:numCache>
                <c:formatCode>0</c:formatCode>
                <c:ptCount val="10"/>
                <c:pt idx="0">
                  <c:v>347.17752000000002</c:v>
                </c:pt>
                <c:pt idx="1">
                  <c:v>349.56137000000001</c:v>
                </c:pt>
                <c:pt idx="2">
                  <c:v>356.31871600000005</c:v>
                </c:pt>
                <c:pt idx="3">
                  <c:v>329.187028</c:v>
                </c:pt>
                <c:pt idx="4">
                  <c:v>331.89141200000006</c:v>
                </c:pt>
                <c:pt idx="5">
                  <c:v>327.41783600000002</c:v>
                </c:pt>
                <c:pt idx="6">
                  <c:v>349.39234600000003</c:v>
                </c:pt>
                <c:pt idx="7">
                  <c:v>359.12206800000007</c:v>
                </c:pt>
                <c:pt idx="8">
                  <c:v>335.14178800000002</c:v>
                </c:pt>
                <c:pt idx="9">
                  <c:v>327.50874200000004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F39-438A-9700-1138E86318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05933360"/>
        <c:axId val="1905932880"/>
      </c:barChart>
      <c:catAx>
        <c:axId val="1905933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05932880"/>
        <c:crosses val="autoZero"/>
        <c:auto val="1"/>
        <c:lblAlgn val="ctr"/>
        <c:lblOffset val="100"/>
        <c:noMultiLvlLbl val="0"/>
      </c:catAx>
      <c:valAx>
        <c:axId val="1905932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05933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'Historical trend ass. Lat_visu'!$A$324</c:f>
              <c:strCache>
                <c:ptCount val="1"/>
                <c:pt idx="0">
                  <c:v>Other services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'Historical trend ass. Lat_visu'!$D$322:$E$322</c:f>
              <c:numCache>
                <c:formatCode>General</c:formatCode>
                <c:ptCount val="2"/>
                <c:pt idx="0">
                  <c:v>2022</c:v>
                </c:pt>
                <c:pt idx="1">
                  <c:v>2023</c:v>
                </c:pt>
              </c:numCache>
            </c:num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0-7772-4110-9E4F-FE0FBF6941AF}"/>
            </c:ext>
          </c:extLst>
        </c:ser>
        <c:ser>
          <c:idx val="3"/>
          <c:order val="1"/>
          <c:tx>
            <c:strRef>
              <c:f>'Historical trend ass. Lat_visu'!$A$325</c:f>
              <c:strCache>
                <c:ptCount val="1"/>
                <c:pt idx="0">
                  <c:v>Wholesale and retail trade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'Historical trend ass. Lat_visu'!$D$322:$E$322</c:f>
              <c:numCache>
                <c:formatCode>General</c:formatCode>
                <c:ptCount val="2"/>
                <c:pt idx="0">
                  <c:v>2022</c:v>
                </c:pt>
                <c:pt idx="1">
                  <c:v>2023</c:v>
                </c:pt>
              </c:numCache>
            </c:numRef>
          </c:cat>
          <c:val>
            <c:numRef>
              <c:f>'Historical trend ass. Lat_visu'!$B$325:$C$325</c:f>
              <c:numCache>
                <c:formatCode>0</c:formatCode>
                <c:ptCount val="2"/>
                <c:pt idx="0">
                  <c:v>450</c:v>
                </c:pt>
                <c:pt idx="1">
                  <c:v>466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772-4110-9E4F-FE0FBF6941AF}"/>
            </c:ext>
          </c:extLst>
        </c:ser>
        <c:ser>
          <c:idx val="4"/>
          <c:order val="2"/>
          <c:tx>
            <c:strRef>
              <c:f>'Historical trend ass. Lat_visu'!$A$326</c:f>
              <c:strCache>
                <c:ptCount val="1"/>
                <c:pt idx="0">
                  <c:v>transportation and storage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'Historical trend ass. Lat_visu'!$D$322:$E$322</c:f>
              <c:numCache>
                <c:formatCode>General</c:formatCode>
                <c:ptCount val="2"/>
                <c:pt idx="0">
                  <c:v>2022</c:v>
                </c:pt>
                <c:pt idx="1">
                  <c:v>2023</c:v>
                </c:pt>
              </c:numCache>
            </c:numRef>
          </c:cat>
          <c:val>
            <c:numRef>
              <c:f>'Historical trend ass. Lat_visu'!$B$326:$C$326</c:f>
              <c:numCache>
                <c:formatCode>0</c:formatCode>
                <c:ptCount val="2"/>
                <c:pt idx="0">
                  <c:v>237</c:v>
                </c:pt>
                <c:pt idx="1">
                  <c:v>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772-4110-9E4F-FE0FBF6941AF}"/>
            </c:ext>
          </c:extLst>
        </c:ser>
        <c:ser>
          <c:idx val="5"/>
          <c:order val="3"/>
          <c:tx>
            <c:strRef>
              <c:f>'Historical trend ass. Lat_visu'!$A$327</c:f>
              <c:strCache>
                <c:ptCount val="1"/>
                <c:pt idx="0">
                  <c:v>Food and accomodation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'Historical trend ass. Lat_visu'!$D$322:$E$322</c:f>
              <c:numCache>
                <c:formatCode>General</c:formatCode>
                <c:ptCount val="2"/>
                <c:pt idx="0">
                  <c:v>2022</c:v>
                </c:pt>
                <c:pt idx="1">
                  <c:v>2023</c:v>
                </c:pt>
              </c:numCache>
            </c:numRef>
          </c:cat>
          <c:val>
            <c:numRef>
              <c:f>'Historical trend ass. Lat_visu'!$B$327:$C$327</c:f>
              <c:numCache>
                <c:formatCode>0</c:formatCode>
                <c:ptCount val="2"/>
                <c:pt idx="0">
                  <c:v>79</c:v>
                </c:pt>
                <c:pt idx="1">
                  <c:v>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772-4110-9E4F-FE0FBF6941AF}"/>
            </c:ext>
          </c:extLst>
        </c:ser>
        <c:ser>
          <c:idx val="6"/>
          <c:order val="4"/>
          <c:tx>
            <c:strRef>
              <c:f>'Historical trend ass. Lat_visu'!$A$328</c:f>
              <c:strCache>
                <c:ptCount val="1"/>
                <c:pt idx="0">
                  <c:v>Technical and professional services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'Historical trend ass. Lat_visu'!$D$322:$E$322</c:f>
              <c:numCache>
                <c:formatCode>General</c:formatCode>
                <c:ptCount val="2"/>
                <c:pt idx="0">
                  <c:v>2022</c:v>
                </c:pt>
                <c:pt idx="1">
                  <c:v>2023</c:v>
                </c:pt>
              </c:numCache>
            </c:numRef>
          </c:cat>
          <c:val>
            <c:numRef>
              <c:f>'Historical trend ass. Lat_visu'!$B$328:$C$328</c:f>
              <c:numCache>
                <c:formatCode>0</c:formatCode>
                <c:ptCount val="2"/>
                <c:pt idx="0">
                  <c:v>1086</c:v>
                </c:pt>
                <c:pt idx="1">
                  <c:v>1169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772-4110-9E4F-FE0FBF6941AF}"/>
            </c:ext>
          </c:extLst>
        </c:ser>
        <c:ser>
          <c:idx val="7"/>
          <c:order val="5"/>
          <c:tx>
            <c:strRef>
              <c:f>'Historical trend ass. Lat_visu'!$A$329</c:f>
              <c:strCache>
                <c:ptCount val="1"/>
                <c:pt idx="0">
                  <c:v>Arts, sports and recreation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'Historical trend ass. Lat_visu'!$D$322:$E$322</c:f>
              <c:numCache>
                <c:formatCode>General</c:formatCode>
                <c:ptCount val="2"/>
                <c:pt idx="0">
                  <c:v>2022</c:v>
                </c:pt>
                <c:pt idx="1">
                  <c:v>2023</c:v>
                </c:pt>
              </c:numCache>
            </c:numRef>
          </c:cat>
          <c:val>
            <c:numRef>
              <c:f>'Historical trend ass. Lat_visu'!$B$329:$C$329</c:f>
              <c:numCache>
                <c:formatCode>0</c:formatCode>
                <c:ptCount val="2"/>
                <c:pt idx="0">
                  <c:v>60</c:v>
                </c:pt>
                <c:pt idx="1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772-4110-9E4F-FE0FBF6941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05922320"/>
        <c:axId val="1905922800"/>
      </c:barChart>
      <c:catAx>
        <c:axId val="1905922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05922800"/>
        <c:crosses val="autoZero"/>
        <c:auto val="1"/>
        <c:lblAlgn val="ctr"/>
        <c:lblOffset val="100"/>
        <c:noMultiLvlLbl val="0"/>
      </c:catAx>
      <c:valAx>
        <c:axId val="1905922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05922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'Historical trend ass. Lat_visu'!$C$333</c:f>
              <c:strCache>
                <c:ptCount val="1"/>
                <c:pt idx="0">
                  <c:v>Metals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'Historical trend ass. Lat_visu'!$A$334:$A$350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'Historical trend ass. Lat_visu'!$C$334:$C$350</c:f>
              <c:numCache>
                <c:formatCode>0</c:formatCode>
                <c:ptCount val="17"/>
                <c:pt idx="0">
                  <c:v>142.05800000000002</c:v>
                </c:pt>
                <c:pt idx="1">
                  <c:v>133.99600000000001</c:v>
                </c:pt>
                <c:pt idx="2">
                  <c:v>148.17400000000001</c:v>
                </c:pt>
                <c:pt idx="3">
                  <c:v>189.04000000000002</c:v>
                </c:pt>
                <c:pt idx="4">
                  <c:v>486.50000000000006</c:v>
                </c:pt>
                <c:pt idx="5">
                  <c:v>141.22400000000002</c:v>
                </c:pt>
                <c:pt idx="6">
                  <c:v>15.012</c:v>
                </c:pt>
                <c:pt idx="7">
                  <c:v>48.928000000000004</c:v>
                </c:pt>
                <c:pt idx="8">
                  <c:v>13.900000000000002</c:v>
                </c:pt>
                <c:pt idx="9">
                  <c:v>14.456000000000001</c:v>
                </c:pt>
                <c:pt idx="10">
                  <c:v>13.622000000000002</c:v>
                </c:pt>
                <c:pt idx="11">
                  <c:v>11.120000000000001</c:v>
                </c:pt>
                <c:pt idx="12">
                  <c:v>8.8960000000000008</c:v>
                </c:pt>
                <c:pt idx="13">
                  <c:v>11.954000000000001</c:v>
                </c:pt>
                <c:pt idx="14">
                  <c:v>12.232000000000001</c:v>
                </c:pt>
                <c:pt idx="15">
                  <c:v>13.900000000000002</c:v>
                </c:pt>
                <c:pt idx="16">
                  <c:v>13.344000000000001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C4-44AA-9A46-925F81E86854}"/>
            </c:ext>
          </c:extLst>
        </c:ser>
        <c:ser>
          <c:idx val="1"/>
          <c:order val="1"/>
          <c:tx>
            <c:strRef>
              <c:f>'Historical trend ass. Lat_visu'!$D$333</c:f>
              <c:strCache>
                <c:ptCount val="1"/>
                <c:pt idx="0">
                  <c:v>Chemicals &amp; Pharma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'Historical trend ass. Lat_visu'!$A$334:$A$350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'Historical trend ass. Lat_visu'!$D$334:$D$350</c:f>
              <c:numCache>
                <c:formatCode>0</c:formatCode>
                <c:ptCount val="17"/>
                <c:pt idx="0">
                  <c:v>65.052000000000007</c:v>
                </c:pt>
                <c:pt idx="1">
                  <c:v>58.936000000000007</c:v>
                </c:pt>
                <c:pt idx="2">
                  <c:v>63.106000000000009</c:v>
                </c:pt>
                <c:pt idx="3">
                  <c:v>68.944000000000003</c:v>
                </c:pt>
                <c:pt idx="4">
                  <c:v>72.00200000000001</c:v>
                </c:pt>
                <c:pt idx="5">
                  <c:v>71.724000000000004</c:v>
                </c:pt>
                <c:pt idx="6">
                  <c:v>60.048000000000002</c:v>
                </c:pt>
                <c:pt idx="7">
                  <c:v>61.994000000000007</c:v>
                </c:pt>
                <c:pt idx="8">
                  <c:v>62.272000000000006</c:v>
                </c:pt>
                <c:pt idx="9">
                  <c:v>64.496000000000009</c:v>
                </c:pt>
                <c:pt idx="10">
                  <c:v>65.330000000000013</c:v>
                </c:pt>
                <c:pt idx="11">
                  <c:v>60.604000000000006</c:v>
                </c:pt>
                <c:pt idx="12">
                  <c:v>59.77</c:v>
                </c:pt>
                <c:pt idx="13">
                  <c:v>66.998000000000005</c:v>
                </c:pt>
                <c:pt idx="14">
                  <c:v>86.458000000000013</c:v>
                </c:pt>
                <c:pt idx="15">
                  <c:v>77.84</c:v>
                </c:pt>
                <c:pt idx="16">
                  <c:v>83.122000000000014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C4-44AA-9A46-925F81E86854}"/>
            </c:ext>
          </c:extLst>
        </c:ser>
        <c:ser>
          <c:idx val="2"/>
          <c:order val="2"/>
          <c:tx>
            <c:strRef>
              <c:f>'Historical trend ass. Lat_visu'!$E$333</c:f>
              <c:strCache>
                <c:ptCount val="1"/>
                <c:pt idx="0">
                  <c:v>Other Fabricated Metals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'Historical trend ass. Lat_visu'!$A$334:$A$350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'Historical trend ass. Lat_visu'!$E$334:$E$350</c:f>
              <c:numCache>
                <c:formatCode>0</c:formatCode>
                <c:ptCount val="17"/>
                <c:pt idx="0">
                  <c:v>1.1120000000000001</c:v>
                </c:pt>
                <c:pt idx="1">
                  <c:v>1.1120000000000001</c:v>
                </c:pt>
                <c:pt idx="2">
                  <c:v>1.1120000000000001</c:v>
                </c:pt>
                <c:pt idx="3">
                  <c:v>1.9460000000000002</c:v>
                </c:pt>
                <c:pt idx="4">
                  <c:v>1.9460000000000002</c:v>
                </c:pt>
                <c:pt idx="5">
                  <c:v>1.1120000000000001</c:v>
                </c:pt>
                <c:pt idx="6">
                  <c:v>1.1120000000000001</c:v>
                </c:pt>
                <c:pt idx="7">
                  <c:v>0.27800000000000002</c:v>
                </c:pt>
                <c:pt idx="8">
                  <c:v>0.55600000000000005</c:v>
                </c:pt>
                <c:pt idx="9">
                  <c:v>5.0040000000000004</c:v>
                </c:pt>
                <c:pt idx="10">
                  <c:v>5.0040000000000004</c:v>
                </c:pt>
                <c:pt idx="11">
                  <c:v>4.7260000000000009</c:v>
                </c:pt>
                <c:pt idx="12">
                  <c:v>5.838000000000001</c:v>
                </c:pt>
                <c:pt idx="13">
                  <c:v>8.34</c:v>
                </c:pt>
                <c:pt idx="14">
                  <c:v>8.6180000000000003</c:v>
                </c:pt>
                <c:pt idx="15">
                  <c:v>9.73</c:v>
                </c:pt>
                <c:pt idx="16">
                  <c:v>10.564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C4-44AA-9A46-925F81E86854}"/>
            </c:ext>
          </c:extLst>
        </c:ser>
        <c:ser>
          <c:idx val="3"/>
          <c:order val="3"/>
          <c:tx>
            <c:strRef>
              <c:f>'Historical trend ass. Lat_visu'!$F$333</c:f>
              <c:strCache>
                <c:ptCount val="1"/>
                <c:pt idx="0">
                  <c:v>Non-metallic Minerals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'Historical trend ass. Lat_visu'!$A$334:$A$350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'Historical trend ass. Lat_visu'!$F$334:$F$350</c:f>
              <c:numCache>
                <c:formatCode>0</c:formatCode>
                <c:ptCount val="17"/>
                <c:pt idx="0">
                  <c:v>192.09800000000001</c:v>
                </c:pt>
                <c:pt idx="1">
                  <c:v>176.25200000000001</c:v>
                </c:pt>
                <c:pt idx="2">
                  <c:v>222.12200000000001</c:v>
                </c:pt>
                <c:pt idx="3">
                  <c:v>239.08</c:v>
                </c:pt>
                <c:pt idx="4">
                  <c:v>244.08400000000003</c:v>
                </c:pt>
                <c:pt idx="5">
                  <c:v>256.03800000000001</c:v>
                </c:pt>
                <c:pt idx="6">
                  <c:v>266.32400000000001</c:v>
                </c:pt>
                <c:pt idx="7">
                  <c:v>239.35800000000003</c:v>
                </c:pt>
                <c:pt idx="8">
                  <c:v>225.18</c:v>
                </c:pt>
                <c:pt idx="9">
                  <c:v>261.32000000000005</c:v>
                </c:pt>
                <c:pt idx="10">
                  <c:v>281.33600000000001</c:v>
                </c:pt>
                <c:pt idx="11">
                  <c:v>279.94600000000003</c:v>
                </c:pt>
                <c:pt idx="12">
                  <c:v>275.77600000000001</c:v>
                </c:pt>
                <c:pt idx="13">
                  <c:v>287.17400000000004</c:v>
                </c:pt>
                <c:pt idx="14">
                  <c:v>300.51800000000003</c:v>
                </c:pt>
                <c:pt idx="15">
                  <c:v>285.50600000000003</c:v>
                </c:pt>
                <c:pt idx="16">
                  <c:v>288.286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EC4-44AA-9A46-925F81E86854}"/>
            </c:ext>
          </c:extLst>
        </c:ser>
        <c:ser>
          <c:idx val="4"/>
          <c:order val="4"/>
          <c:tx>
            <c:strRef>
              <c:f>'Historical trend ass. Lat_visu'!$G$333</c:f>
              <c:strCache>
                <c:ptCount val="1"/>
                <c:pt idx="0">
                  <c:v>Transport Equipment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'Historical trend ass. Lat_visu'!$A$334:$A$350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'Historical trend ass. Lat_visu'!$G$334:$G$350</c:f>
              <c:numCache>
                <c:formatCode>0</c:formatCode>
                <c:ptCount val="17"/>
                <c:pt idx="0">
                  <c:v>55.878000000000007</c:v>
                </c:pt>
                <c:pt idx="1">
                  <c:v>38.086000000000006</c:v>
                </c:pt>
                <c:pt idx="2">
                  <c:v>31.136000000000003</c:v>
                </c:pt>
                <c:pt idx="3">
                  <c:v>36.14</c:v>
                </c:pt>
                <c:pt idx="4">
                  <c:v>38.086000000000006</c:v>
                </c:pt>
                <c:pt idx="5">
                  <c:v>53.098000000000006</c:v>
                </c:pt>
                <c:pt idx="6">
                  <c:v>35.028000000000006</c:v>
                </c:pt>
                <c:pt idx="7">
                  <c:v>44.202000000000005</c:v>
                </c:pt>
                <c:pt idx="8">
                  <c:v>44.758000000000003</c:v>
                </c:pt>
                <c:pt idx="9">
                  <c:v>46.704000000000008</c:v>
                </c:pt>
                <c:pt idx="10">
                  <c:v>46.704000000000008</c:v>
                </c:pt>
                <c:pt idx="11">
                  <c:v>41.7</c:v>
                </c:pt>
                <c:pt idx="12">
                  <c:v>36.974000000000004</c:v>
                </c:pt>
                <c:pt idx="13">
                  <c:v>41.7</c:v>
                </c:pt>
                <c:pt idx="14">
                  <c:v>40.866000000000007</c:v>
                </c:pt>
                <c:pt idx="15">
                  <c:v>36.14</c:v>
                </c:pt>
                <c:pt idx="16">
                  <c:v>31.692000000000004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EC4-44AA-9A46-925F81E86854}"/>
            </c:ext>
          </c:extLst>
        </c:ser>
        <c:ser>
          <c:idx val="5"/>
          <c:order val="5"/>
          <c:tx>
            <c:strRef>
              <c:f>'Historical trend ass. Lat_visu'!$H$333</c:f>
              <c:strCache>
                <c:ptCount val="1"/>
                <c:pt idx="0">
                  <c:v>Machinery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'Historical trend ass. Lat_visu'!$A$334:$A$350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'Historical trend ass. Lat_visu'!$H$334:$H$350</c:f>
              <c:numCache>
                <c:formatCode>0</c:formatCode>
                <c:ptCount val="17"/>
                <c:pt idx="0">
                  <c:v>136.22</c:v>
                </c:pt>
                <c:pt idx="1">
                  <c:v>85.902000000000001</c:v>
                </c:pt>
                <c:pt idx="2">
                  <c:v>96.188000000000002</c:v>
                </c:pt>
                <c:pt idx="3">
                  <c:v>108.14200000000001</c:v>
                </c:pt>
                <c:pt idx="4">
                  <c:v>110.08800000000001</c:v>
                </c:pt>
                <c:pt idx="5">
                  <c:v>116.20400000000001</c:v>
                </c:pt>
                <c:pt idx="6">
                  <c:v>108.14200000000001</c:v>
                </c:pt>
                <c:pt idx="7">
                  <c:v>93.13000000000001</c:v>
                </c:pt>
                <c:pt idx="8">
                  <c:v>96.744000000000014</c:v>
                </c:pt>
                <c:pt idx="9">
                  <c:v>89.238000000000014</c:v>
                </c:pt>
                <c:pt idx="10">
                  <c:v>91.740000000000009</c:v>
                </c:pt>
                <c:pt idx="11">
                  <c:v>88.126000000000005</c:v>
                </c:pt>
                <c:pt idx="12">
                  <c:v>86.458000000000013</c:v>
                </c:pt>
                <c:pt idx="13">
                  <c:v>94.798000000000002</c:v>
                </c:pt>
                <c:pt idx="14">
                  <c:v>88.404000000000011</c:v>
                </c:pt>
                <c:pt idx="15">
                  <c:v>87.01400000000001</c:v>
                </c:pt>
                <c:pt idx="16">
                  <c:v>82.01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EC4-44AA-9A46-925F81E86854}"/>
            </c:ext>
          </c:extLst>
        </c:ser>
        <c:ser>
          <c:idx val="6"/>
          <c:order val="6"/>
          <c:tx>
            <c:strRef>
              <c:f>'Historical trend ass. Lat_visu'!$I$333</c:f>
              <c:strCache>
                <c:ptCount val="1"/>
                <c:pt idx="0">
                  <c:v>Mining &amp; Quarrying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'Historical trend ass. Lat_visu'!$A$334:$A$350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'Historical trend ass. Lat_visu'!$I$334:$I$350</c:f>
              <c:numCache>
                <c:formatCode>0</c:formatCode>
                <c:ptCount val="17"/>
                <c:pt idx="0">
                  <c:v>11.954000000000001</c:v>
                </c:pt>
                <c:pt idx="1">
                  <c:v>8.8960000000000008</c:v>
                </c:pt>
                <c:pt idx="2">
                  <c:v>18.07</c:v>
                </c:pt>
                <c:pt idx="3">
                  <c:v>11.954000000000001</c:v>
                </c:pt>
                <c:pt idx="4">
                  <c:v>11.120000000000001</c:v>
                </c:pt>
                <c:pt idx="5">
                  <c:v>21.128</c:v>
                </c:pt>
                <c:pt idx="6">
                  <c:v>13.900000000000002</c:v>
                </c:pt>
                <c:pt idx="7">
                  <c:v>15.012</c:v>
                </c:pt>
                <c:pt idx="8">
                  <c:v>12.510000000000002</c:v>
                </c:pt>
                <c:pt idx="9">
                  <c:v>27.800000000000004</c:v>
                </c:pt>
                <c:pt idx="10">
                  <c:v>30.024000000000001</c:v>
                </c:pt>
                <c:pt idx="11">
                  <c:v>30.024000000000001</c:v>
                </c:pt>
                <c:pt idx="12">
                  <c:v>19.182000000000002</c:v>
                </c:pt>
                <c:pt idx="13">
                  <c:v>20.572000000000003</c:v>
                </c:pt>
                <c:pt idx="14">
                  <c:v>16.68</c:v>
                </c:pt>
                <c:pt idx="15">
                  <c:v>12.788</c:v>
                </c:pt>
                <c:pt idx="16">
                  <c:v>12.788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C4-44AA-9A46-925F81E86854}"/>
            </c:ext>
          </c:extLst>
        </c:ser>
        <c:ser>
          <c:idx val="7"/>
          <c:order val="7"/>
          <c:tx>
            <c:strRef>
              <c:f>'Historical trend ass. Lat_visu'!$J$333</c:f>
              <c:strCache>
                <c:ptCount val="1"/>
                <c:pt idx="0">
                  <c:v>Food, Beverages &amp; Tobacco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'Historical trend ass. Lat_visu'!$A$334:$A$350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'Historical trend ass. Lat_visu'!$J$334:$J$350</c:f>
              <c:numCache>
                <c:formatCode>0</c:formatCode>
                <c:ptCount val="17"/>
                <c:pt idx="0">
                  <c:v>346.11</c:v>
                </c:pt>
                <c:pt idx="1">
                  <c:v>282.17</c:v>
                </c:pt>
                <c:pt idx="2">
                  <c:v>292.17800000000005</c:v>
                </c:pt>
                <c:pt idx="3">
                  <c:v>293.29000000000002</c:v>
                </c:pt>
                <c:pt idx="4">
                  <c:v>258.262</c:v>
                </c:pt>
                <c:pt idx="5">
                  <c:v>320.25600000000003</c:v>
                </c:pt>
                <c:pt idx="6">
                  <c:v>280.22400000000005</c:v>
                </c:pt>
                <c:pt idx="7">
                  <c:v>278.27800000000002</c:v>
                </c:pt>
                <c:pt idx="8">
                  <c:v>277.72200000000004</c:v>
                </c:pt>
                <c:pt idx="9">
                  <c:v>288.56400000000002</c:v>
                </c:pt>
                <c:pt idx="10">
                  <c:v>284.39400000000001</c:v>
                </c:pt>
                <c:pt idx="11">
                  <c:v>279.11200000000002</c:v>
                </c:pt>
                <c:pt idx="12">
                  <c:v>281.05800000000005</c:v>
                </c:pt>
                <c:pt idx="13">
                  <c:v>305.24400000000003</c:v>
                </c:pt>
                <c:pt idx="14">
                  <c:v>279.94600000000003</c:v>
                </c:pt>
                <c:pt idx="15">
                  <c:v>276.33200000000005</c:v>
                </c:pt>
                <c:pt idx="16">
                  <c:v>279.66800000000001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EC4-44AA-9A46-925F81E86854}"/>
            </c:ext>
          </c:extLst>
        </c:ser>
        <c:ser>
          <c:idx val="8"/>
          <c:order val="8"/>
          <c:tx>
            <c:strRef>
              <c:f>'Historical trend ass. Lat_visu'!$K$333</c:f>
              <c:strCache>
                <c:ptCount val="1"/>
                <c:pt idx="0">
                  <c:v>Paper &amp; Printing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'Historical trend ass. Lat_visu'!$A$334:$A$350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'Historical trend ass. Lat_visu'!$K$334:$K$350</c:f>
              <c:numCache>
                <c:formatCode>0</c:formatCode>
                <c:ptCount val="17"/>
                <c:pt idx="0">
                  <c:v>41.144000000000005</c:v>
                </c:pt>
                <c:pt idx="1">
                  <c:v>46.982000000000006</c:v>
                </c:pt>
                <c:pt idx="2">
                  <c:v>31.970000000000002</c:v>
                </c:pt>
                <c:pt idx="3">
                  <c:v>31.136000000000003</c:v>
                </c:pt>
                <c:pt idx="4">
                  <c:v>31.970000000000002</c:v>
                </c:pt>
                <c:pt idx="5">
                  <c:v>28.912000000000003</c:v>
                </c:pt>
                <c:pt idx="6">
                  <c:v>30.024000000000001</c:v>
                </c:pt>
                <c:pt idx="7">
                  <c:v>28.078000000000003</c:v>
                </c:pt>
                <c:pt idx="8">
                  <c:v>26.132000000000001</c:v>
                </c:pt>
                <c:pt idx="9">
                  <c:v>27.800000000000004</c:v>
                </c:pt>
                <c:pt idx="10">
                  <c:v>27.800000000000004</c:v>
                </c:pt>
                <c:pt idx="11">
                  <c:v>27.522000000000002</c:v>
                </c:pt>
                <c:pt idx="12">
                  <c:v>27.244000000000003</c:v>
                </c:pt>
                <c:pt idx="13">
                  <c:v>28.078000000000003</c:v>
                </c:pt>
                <c:pt idx="14">
                  <c:v>25.854000000000003</c:v>
                </c:pt>
                <c:pt idx="15">
                  <c:v>23.630000000000003</c:v>
                </c:pt>
                <c:pt idx="16">
                  <c:v>25.020000000000003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EC4-44AA-9A46-925F81E86854}"/>
            </c:ext>
          </c:extLst>
        </c:ser>
        <c:ser>
          <c:idx val="9"/>
          <c:order val="9"/>
          <c:tx>
            <c:strRef>
              <c:f>'Historical trend ass. Lat_visu'!$L$333</c:f>
              <c:strCache>
                <c:ptCount val="1"/>
                <c:pt idx="0">
                  <c:v>Wood Products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'Historical trend ass. Lat_visu'!$A$334:$A$350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'Historical trend ass. Lat_visu'!$L$334:$L$350</c:f>
              <c:numCache>
                <c:formatCode>0</c:formatCode>
                <c:ptCount val="17"/>
                <c:pt idx="0">
                  <c:v>408.38200000000006</c:v>
                </c:pt>
                <c:pt idx="1">
                  <c:v>458.42200000000003</c:v>
                </c:pt>
                <c:pt idx="2">
                  <c:v>477.32600000000002</c:v>
                </c:pt>
                <c:pt idx="3">
                  <c:v>498.45400000000006</c:v>
                </c:pt>
                <c:pt idx="4">
                  <c:v>560.44800000000009</c:v>
                </c:pt>
                <c:pt idx="5">
                  <c:v>625.5</c:v>
                </c:pt>
                <c:pt idx="6">
                  <c:v>681.65600000000006</c:v>
                </c:pt>
                <c:pt idx="7">
                  <c:v>723.91200000000003</c:v>
                </c:pt>
                <c:pt idx="8">
                  <c:v>738.64600000000007</c:v>
                </c:pt>
                <c:pt idx="9">
                  <c:v>762.83200000000011</c:v>
                </c:pt>
                <c:pt idx="10">
                  <c:v>807.31200000000013</c:v>
                </c:pt>
                <c:pt idx="11">
                  <c:v>835.11200000000008</c:v>
                </c:pt>
                <c:pt idx="12">
                  <c:v>885.15200000000004</c:v>
                </c:pt>
                <c:pt idx="13">
                  <c:v>912.11800000000005</c:v>
                </c:pt>
                <c:pt idx="14">
                  <c:v>818.71</c:v>
                </c:pt>
                <c:pt idx="15">
                  <c:v>758.66200000000003</c:v>
                </c:pt>
                <c:pt idx="16">
                  <c:v>772.56200000000013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EC4-44AA-9A46-925F81E86854}"/>
            </c:ext>
          </c:extLst>
        </c:ser>
        <c:ser>
          <c:idx val="10"/>
          <c:order val="10"/>
          <c:tx>
            <c:strRef>
              <c:f>'Historical trend ass. Lat_visu'!$M$333</c:f>
              <c:strCache>
                <c:ptCount val="1"/>
                <c:pt idx="0">
                  <c:v>Textiles &amp; Leather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'Historical trend ass. Lat_visu'!$A$334:$A$350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'Historical trend ass. Lat_visu'!$M$334:$M$350</c:f>
              <c:numCache>
                <c:formatCode>0</c:formatCode>
                <c:ptCount val="17"/>
                <c:pt idx="0">
                  <c:v>70.056000000000012</c:v>
                </c:pt>
                <c:pt idx="1">
                  <c:v>51.152000000000001</c:v>
                </c:pt>
                <c:pt idx="2">
                  <c:v>40.032000000000004</c:v>
                </c:pt>
                <c:pt idx="3">
                  <c:v>41.978000000000002</c:v>
                </c:pt>
                <c:pt idx="4">
                  <c:v>36.14</c:v>
                </c:pt>
                <c:pt idx="5">
                  <c:v>41.144000000000005</c:v>
                </c:pt>
                <c:pt idx="6">
                  <c:v>33.082000000000001</c:v>
                </c:pt>
                <c:pt idx="7">
                  <c:v>28.912000000000003</c:v>
                </c:pt>
                <c:pt idx="8">
                  <c:v>30.302000000000003</c:v>
                </c:pt>
                <c:pt idx="9">
                  <c:v>30.024000000000001</c:v>
                </c:pt>
                <c:pt idx="10">
                  <c:v>29.19</c:v>
                </c:pt>
                <c:pt idx="11">
                  <c:v>28.078000000000003</c:v>
                </c:pt>
                <c:pt idx="12">
                  <c:v>24.742000000000001</c:v>
                </c:pt>
                <c:pt idx="13">
                  <c:v>25.298000000000002</c:v>
                </c:pt>
                <c:pt idx="14">
                  <c:v>22.518000000000001</c:v>
                </c:pt>
                <c:pt idx="15">
                  <c:v>20.85</c:v>
                </c:pt>
                <c:pt idx="16">
                  <c:v>19.738000000000003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EC4-44AA-9A46-925F81E86854}"/>
            </c:ext>
          </c:extLst>
        </c:ser>
        <c:ser>
          <c:idx val="11"/>
          <c:order val="11"/>
          <c:tx>
            <c:strRef>
              <c:f>'Historical trend ass. Lat_visu'!$N$333</c:f>
              <c:strCache>
                <c:ptCount val="1"/>
                <c:pt idx="0">
                  <c:v>Rubber, Plastics &amp; Other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'Historical trend ass. Lat_visu'!$A$334:$A$350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'Historical trend ass. Lat_visu'!$N$334:$N$350</c:f>
              <c:numCache>
                <c:formatCode>0</c:formatCode>
                <c:ptCount val="17"/>
                <c:pt idx="0">
                  <c:v>70.056000000000012</c:v>
                </c:pt>
                <c:pt idx="1">
                  <c:v>48.094000000000001</c:v>
                </c:pt>
                <c:pt idx="2">
                  <c:v>63.662000000000006</c:v>
                </c:pt>
                <c:pt idx="3">
                  <c:v>60.048000000000002</c:v>
                </c:pt>
                <c:pt idx="4">
                  <c:v>60.048000000000002</c:v>
                </c:pt>
                <c:pt idx="5">
                  <c:v>63.106000000000009</c:v>
                </c:pt>
                <c:pt idx="6">
                  <c:v>66.164000000000001</c:v>
                </c:pt>
                <c:pt idx="7">
                  <c:v>68.11</c:v>
                </c:pt>
                <c:pt idx="8">
                  <c:v>74.504000000000005</c:v>
                </c:pt>
                <c:pt idx="9">
                  <c:v>78.118000000000009</c:v>
                </c:pt>
                <c:pt idx="10">
                  <c:v>90.350000000000009</c:v>
                </c:pt>
                <c:pt idx="11">
                  <c:v>82.288000000000011</c:v>
                </c:pt>
                <c:pt idx="12">
                  <c:v>82.01</c:v>
                </c:pt>
                <c:pt idx="13">
                  <c:v>88.682000000000002</c:v>
                </c:pt>
                <c:pt idx="14">
                  <c:v>90.072000000000003</c:v>
                </c:pt>
                <c:pt idx="15">
                  <c:v>82.566000000000003</c:v>
                </c:pt>
                <c:pt idx="16">
                  <c:v>106.75200000000001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EC4-44AA-9A46-925F81E868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99856800"/>
        <c:axId val="1999845280"/>
      </c:barChart>
      <c:catAx>
        <c:axId val="1999856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845280"/>
        <c:crosses val="autoZero"/>
        <c:auto val="1"/>
        <c:lblAlgn val="ctr"/>
        <c:lblOffset val="100"/>
        <c:noMultiLvlLbl val="0"/>
      </c:catAx>
      <c:valAx>
        <c:axId val="1999845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856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2"/>
          <c:order val="0"/>
          <c:tx>
            <c:strRef>
              <c:f>'Historical trend ass. Lat_visu'!$C$301</c:f>
              <c:strCache>
                <c:ptCount val="1"/>
                <c:pt idx="0">
                  <c:v>Road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'Historical trend ass. Lat_visu'!$A$302:$A$318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'Historical trend ass. Lat_visu'!$C$302:$C$318</c:f>
              <c:numCache>
                <c:formatCode>General</c:formatCode>
                <c:ptCount val="17"/>
                <c:pt idx="0">
                  <c:v>76</c:v>
                </c:pt>
                <c:pt idx="1">
                  <c:v>69</c:v>
                </c:pt>
                <c:pt idx="2">
                  <c:v>67</c:v>
                </c:pt>
                <c:pt idx="3">
                  <c:v>65</c:v>
                </c:pt>
                <c:pt idx="4">
                  <c:v>65</c:v>
                </c:pt>
                <c:pt idx="5">
                  <c:v>65</c:v>
                </c:pt>
                <c:pt idx="6">
                  <c:v>57</c:v>
                </c:pt>
                <c:pt idx="7">
                  <c:v>26</c:v>
                </c:pt>
                <c:pt idx="8">
                  <c:v>27</c:v>
                </c:pt>
                <c:pt idx="9">
                  <c:v>28</c:v>
                </c:pt>
                <c:pt idx="10">
                  <c:v>29</c:v>
                </c:pt>
                <c:pt idx="11">
                  <c:v>27</c:v>
                </c:pt>
                <c:pt idx="12">
                  <c:v>27</c:v>
                </c:pt>
                <c:pt idx="13">
                  <c:v>29</c:v>
                </c:pt>
                <c:pt idx="14">
                  <c:v>34</c:v>
                </c:pt>
                <c:pt idx="15">
                  <c:v>43</c:v>
                </c:pt>
                <c:pt idx="16">
                  <c:v>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EB-4C6F-8D78-F6A0E7CE83B9}"/>
            </c:ext>
          </c:extLst>
        </c:ser>
        <c:ser>
          <c:idx val="3"/>
          <c:order val="1"/>
          <c:tx>
            <c:strRef>
              <c:f>'Historical trend ass. Lat_visu'!$D$301</c:f>
              <c:strCache>
                <c:ptCount val="1"/>
                <c:pt idx="0">
                  <c:v>Rail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'Historical trend ass. Lat_visu'!$A$302:$A$318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'Historical trend ass. Lat_visu'!$D$302:$D$318</c:f>
              <c:numCache>
                <c:formatCode>General</c:formatCode>
                <c:ptCount val="17"/>
                <c:pt idx="0">
                  <c:v>43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39</c:v>
                </c:pt>
                <c:pt idx="6">
                  <c:v>40</c:v>
                </c:pt>
                <c:pt idx="7">
                  <c:v>66</c:v>
                </c:pt>
                <c:pt idx="8">
                  <c:v>66</c:v>
                </c:pt>
                <c:pt idx="9">
                  <c:v>66</c:v>
                </c:pt>
                <c:pt idx="10">
                  <c:v>68</c:v>
                </c:pt>
                <c:pt idx="11">
                  <c:v>68</c:v>
                </c:pt>
                <c:pt idx="12">
                  <c:v>63</c:v>
                </c:pt>
                <c:pt idx="13">
                  <c:v>66</c:v>
                </c:pt>
                <c:pt idx="14">
                  <c:v>65</c:v>
                </c:pt>
                <c:pt idx="15">
                  <c:v>63</c:v>
                </c:pt>
                <c:pt idx="16">
                  <c:v>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EB-4C6F-8D78-F6A0E7CE83B9}"/>
            </c:ext>
          </c:extLst>
        </c:ser>
        <c:ser>
          <c:idx val="4"/>
          <c:order val="2"/>
          <c:tx>
            <c:strRef>
              <c:f>'Historical trend ass. Lat_visu'!$E$301</c:f>
              <c:strCache>
                <c:ptCount val="1"/>
                <c:pt idx="0">
                  <c:v>Pipeline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'Historical trend ass. Lat_visu'!$A$302:$A$318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'Historical trend ass. Lat_visu'!$E$302:$E$318</c:f>
              <c:numCache>
                <c:formatCode>General</c:formatCode>
                <c:ptCount val="17"/>
                <c:pt idx="0">
                  <c:v>19</c:v>
                </c:pt>
                <c:pt idx="1">
                  <c:v>12</c:v>
                </c:pt>
                <c:pt idx="2">
                  <c:v>19</c:v>
                </c:pt>
                <c:pt idx="3">
                  <c:v>19</c:v>
                </c:pt>
                <c:pt idx="4">
                  <c:v>24</c:v>
                </c:pt>
                <c:pt idx="5">
                  <c:v>20</c:v>
                </c:pt>
                <c:pt idx="6">
                  <c:v>20</c:v>
                </c:pt>
                <c:pt idx="7">
                  <c:v>14</c:v>
                </c:pt>
                <c:pt idx="8">
                  <c:v>12</c:v>
                </c:pt>
                <c:pt idx="9">
                  <c:v>11</c:v>
                </c:pt>
                <c:pt idx="10">
                  <c:v>7</c:v>
                </c:pt>
                <c:pt idx="11">
                  <c:v>6</c:v>
                </c:pt>
                <c:pt idx="12">
                  <c:v>4</c:v>
                </c:pt>
                <c:pt idx="13">
                  <c:v>3</c:v>
                </c:pt>
                <c:pt idx="14">
                  <c:v>2</c:v>
                </c:pt>
                <c:pt idx="15">
                  <c:v>1</c:v>
                </c:pt>
                <c:pt idx="1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EB-4C6F-8D78-F6A0E7CE83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5150703"/>
        <c:axId val="215142543"/>
      </c:barChart>
      <c:catAx>
        <c:axId val="2151507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5142543"/>
        <c:crosses val="autoZero"/>
        <c:auto val="1"/>
        <c:lblAlgn val="ctr"/>
        <c:lblOffset val="100"/>
        <c:noMultiLvlLbl val="0"/>
      </c:catAx>
      <c:valAx>
        <c:axId val="215142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5150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'Historical trend ass. Lat_visu'!$A$368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'Historical trend ass. Lat_visu'!$B$367:$M$367</c:f>
              <c:strCach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strCache>
            </c:strRef>
          </c:cat>
          <c:val>
            <c:numRef>
              <c:f>'Historical trend ass. Lat_visu'!$B$368:$M$368</c:f>
              <c:numCache>
                <c:formatCode>#,##0</c:formatCode>
                <c:ptCount val="12"/>
                <c:pt idx="0">
                  <c:v>11070</c:v>
                </c:pt>
                <c:pt idx="1">
                  <c:v>13173</c:v>
                </c:pt>
                <c:pt idx="2">
                  <c:v>14291</c:v>
                </c:pt>
                <c:pt idx="3">
                  <c:v>16768</c:v>
                </c:pt>
                <c:pt idx="4">
                  <c:v>17064</c:v>
                </c:pt>
                <c:pt idx="5">
                  <c:v>17185</c:v>
                </c:pt>
                <c:pt idx="6">
                  <c:v>18537</c:v>
                </c:pt>
                <c:pt idx="7">
                  <c:v>13725</c:v>
                </c:pt>
                <c:pt idx="8">
                  <c:v>14621</c:v>
                </c:pt>
                <c:pt idx="9">
                  <c:v>16715</c:v>
                </c:pt>
                <c:pt idx="10">
                  <c:v>18451</c:v>
                </c:pt>
                <c:pt idx="11">
                  <c:v>17135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20-4556-A972-7BCEEDB25CC3}"/>
            </c:ext>
          </c:extLst>
        </c:ser>
        <c:ser>
          <c:idx val="1"/>
          <c:order val="1"/>
          <c:tx>
            <c:strRef>
              <c:f>'Historical trend ass. Lat_visu'!$A$369</c:f>
              <c:strCache>
                <c:ptCount val="1"/>
                <c:pt idx="0">
                  <c:v>Electricity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'Historical trend ass. Lat_visu'!$B$367:$M$367</c:f>
              <c:strCach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strCache>
            </c:strRef>
          </c:cat>
          <c:val>
            <c:numRef>
              <c:f>'Historical trend ass. Lat_visu'!$B$369:$M$369</c:f>
              <c:numCache>
                <c:formatCode>#,##0</c:formatCode>
                <c:ptCount val="12"/>
                <c:pt idx="0">
                  <c:v>0</c:v>
                </c:pt>
                <c:pt idx="1">
                  <c:v>174</c:v>
                </c:pt>
                <c:pt idx="2">
                  <c:v>17</c:v>
                </c:pt>
                <c:pt idx="3">
                  <c:v>19</c:v>
                </c:pt>
                <c:pt idx="4">
                  <c:v>41</c:v>
                </c:pt>
                <c:pt idx="5">
                  <c:v>78</c:v>
                </c:pt>
                <c:pt idx="6">
                  <c:v>116</c:v>
                </c:pt>
                <c:pt idx="7">
                  <c:v>351</c:v>
                </c:pt>
                <c:pt idx="8">
                  <c:v>480</c:v>
                </c:pt>
                <c:pt idx="9">
                  <c:v>1069</c:v>
                </c:pt>
                <c:pt idx="10">
                  <c:v>1629</c:v>
                </c:pt>
                <c:pt idx="11">
                  <c:v>1260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420-4556-A972-7BCEEDB25CC3}"/>
            </c:ext>
          </c:extLst>
        </c:ser>
        <c:ser>
          <c:idx val="2"/>
          <c:order val="2"/>
          <c:tx>
            <c:strRef>
              <c:f>'Historical trend ass. Lat_visu'!$A$370</c:f>
              <c:strCache>
                <c:ptCount val="1"/>
                <c:pt idx="0">
                  <c:v>Electric hybrid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'Historical trend ass. Lat_visu'!$B$367:$M$367</c:f>
              <c:strCach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strCache>
            </c:strRef>
          </c:cat>
          <c:val>
            <c:numRef>
              <c:f>'Historical trend ass. Lat_visu'!$B$370:$M$370</c:f>
              <c:numCache>
                <c:formatCode>#,##0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9</c:v>
                </c:pt>
                <c:pt idx="3">
                  <c:v>18</c:v>
                </c:pt>
                <c:pt idx="4">
                  <c:v>18</c:v>
                </c:pt>
                <c:pt idx="5">
                  <c:v>18</c:v>
                </c:pt>
                <c:pt idx="6">
                  <c:v>14</c:v>
                </c:pt>
                <c:pt idx="7">
                  <c:v>78</c:v>
                </c:pt>
                <c:pt idx="8">
                  <c:v>147</c:v>
                </c:pt>
                <c:pt idx="9">
                  <c:v>5672</c:v>
                </c:pt>
                <c:pt idx="10">
                  <c:v>6890</c:v>
                </c:pt>
                <c:pt idx="11">
                  <c:v>8360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420-4556-A972-7BCEEDB25C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1123872"/>
        <c:axId val="411124352"/>
      </c:barChart>
      <c:catAx>
        <c:axId val="411123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1124352"/>
        <c:crosses val="autoZero"/>
        <c:auto val="1"/>
        <c:lblAlgn val="ctr"/>
        <c:lblOffset val="100"/>
        <c:noMultiLvlLbl val="0"/>
      </c:catAx>
      <c:valAx>
        <c:axId val="411124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No.</a:t>
                </a:r>
                <a:r>
                  <a:rPr lang="en-US" baseline="0"/>
                  <a:t> of new cars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1123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'Historical trend ass. Lat_visu'!$A$375</c:f>
              <c:strCache>
                <c:ptCount val="1"/>
                <c:pt idx="0">
                  <c:v>% of electricity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'Historical trend ass. Lat_visu'!$B$374:$M$374</c:f>
              <c:strCach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strCache>
            </c:strRef>
          </c:cat>
          <c:val>
            <c:numRef>
              <c:f>'Historical trend ass. Lat_visu'!$B$375:$M$375</c:f>
              <c:numCache>
                <c:formatCode>0.0%</c:formatCode>
                <c:ptCount val="12"/>
                <c:pt idx="0">
                  <c:v>0</c:v>
                </c:pt>
                <c:pt idx="1">
                  <c:v>1.2999999999999999E-2</c:v>
                </c:pt>
                <c:pt idx="2">
                  <c:v>1E-3</c:v>
                </c:pt>
                <c:pt idx="3">
                  <c:v>1E-3</c:v>
                </c:pt>
                <c:pt idx="4">
                  <c:v>2E-3</c:v>
                </c:pt>
                <c:pt idx="5">
                  <c:v>5.0000000000000001E-3</c:v>
                </c:pt>
                <c:pt idx="6">
                  <c:v>6.0000000000000001E-3</c:v>
                </c:pt>
                <c:pt idx="7">
                  <c:v>2.5999999999999999E-2</c:v>
                </c:pt>
                <c:pt idx="8">
                  <c:v>3.3000000000000002E-2</c:v>
                </c:pt>
                <c:pt idx="9">
                  <c:v>6.4000000000000001E-2</c:v>
                </c:pt>
                <c:pt idx="10">
                  <c:v>8.7999999999999995E-2</c:v>
                </c:pt>
                <c:pt idx="11">
                  <c:v>7.3999999999999996E-2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E2-48AD-89F3-052DD99BB59B}"/>
            </c:ext>
          </c:extLst>
        </c:ser>
        <c:ser>
          <c:idx val="1"/>
          <c:order val="1"/>
          <c:tx>
            <c:strRef>
              <c:f>'Historical trend ass. Lat_visu'!$A$376</c:f>
              <c:strCache>
                <c:ptCount val="1"/>
                <c:pt idx="0">
                  <c:v>% of electric hybrid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'Historical trend ass. Lat_visu'!$B$374:$M$374</c:f>
              <c:strCach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strCache>
            </c:strRef>
          </c:cat>
          <c:val>
            <c:numRef>
              <c:f>'Historical trend ass. Lat_visu'!$B$376:$M$376</c:f>
              <c:numCache>
                <c:formatCode>0.0%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1E-3</c:v>
                </c:pt>
                <c:pt idx="3">
                  <c:v>1E-3</c:v>
                </c:pt>
                <c:pt idx="4">
                  <c:v>1E-3</c:v>
                </c:pt>
                <c:pt idx="5">
                  <c:v>1E-3</c:v>
                </c:pt>
                <c:pt idx="6">
                  <c:v>1E-3</c:v>
                </c:pt>
                <c:pt idx="7">
                  <c:v>6.0000000000000001E-3</c:v>
                </c:pt>
                <c:pt idx="8">
                  <c:v>0.01</c:v>
                </c:pt>
                <c:pt idx="9">
                  <c:v>0.33900000000000002</c:v>
                </c:pt>
                <c:pt idx="10">
                  <c:v>0.373</c:v>
                </c:pt>
                <c:pt idx="11">
                  <c:v>0.48799999999999999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E2-48AD-89F3-052DD99BB5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45513520"/>
        <c:axId val="1945513040"/>
      </c:lineChart>
      <c:catAx>
        <c:axId val="1945513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5513040"/>
        <c:crosses val="autoZero"/>
        <c:auto val="1"/>
        <c:lblAlgn val="ctr"/>
        <c:lblOffset val="100"/>
        <c:noMultiLvlLbl val="0"/>
      </c:catAx>
      <c:valAx>
        <c:axId val="1945513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5513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0"/>
          <c:order val="0"/>
          <c:tx>
            <c:strRef>
              <c:f>'Historical trend ass. Lit_visua'!$A$100:$A$101</c:f>
              <c:strCache>
                <c:ptCount val="1"/>
                <c:pt idx="0">
                  <c:v>Total electricity production, GWh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  <a:effectLst/>
          </c:spPr>
          <c:cat>
            <c:strRef>
              <c:f>'Historical trend ass. Lit_visua'!$B$100:$EO$100</c:f>
              <c:strCache>
                <c:ptCount val="144"/>
                <c:pt idx="0">
                  <c:v>2013 January</c:v>
                </c:pt>
                <c:pt idx="1">
                  <c:v>2013 February</c:v>
                </c:pt>
                <c:pt idx="2">
                  <c:v>2013 March</c:v>
                </c:pt>
                <c:pt idx="3">
                  <c:v>2013 April</c:v>
                </c:pt>
                <c:pt idx="4">
                  <c:v>2013 May</c:v>
                </c:pt>
                <c:pt idx="5">
                  <c:v>2013 June</c:v>
                </c:pt>
                <c:pt idx="6">
                  <c:v>2013 July</c:v>
                </c:pt>
                <c:pt idx="7">
                  <c:v>2013 August</c:v>
                </c:pt>
                <c:pt idx="8">
                  <c:v>2013 September</c:v>
                </c:pt>
                <c:pt idx="9">
                  <c:v>2013 October</c:v>
                </c:pt>
                <c:pt idx="10">
                  <c:v>2013 November</c:v>
                </c:pt>
                <c:pt idx="11">
                  <c:v>2013 December</c:v>
                </c:pt>
                <c:pt idx="12">
                  <c:v>2014 January</c:v>
                </c:pt>
                <c:pt idx="13">
                  <c:v>2014 February</c:v>
                </c:pt>
                <c:pt idx="14">
                  <c:v>2014 March</c:v>
                </c:pt>
                <c:pt idx="15">
                  <c:v>2014 April</c:v>
                </c:pt>
                <c:pt idx="16">
                  <c:v>2014 May</c:v>
                </c:pt>
                <c:pt idx="17">
                  <c:v>2014 June</c:v>
                </c:pt>
                <c:pt idx="18">
                  <c:v>2014 July</c:v>
                </c:pt>
                <c:pt idx="19">
                  <c:v>2014 August</c:v>
                </c:pt>
                <c:pt idx="20">
                  <c:v>2014 September</c:v>
                </c:pt>
                <c:pt idx="21">
                  <c:v>2014 October</c:v>
                </c:pt>
                <c:pt idx="22">
                  <c:v>2014 November</c:v>
                </c:pt>
                <c:pt idx="23">
                  <c:v>2014 December</c:v>
                </c:pt>
                <c:pt idx="24">
                  <c:v>2015 January</c:v>
                </c:pt>
                <c:pt idx="25">
                  <c:v>2015 February</c:v>
                </c:pt>
                <c:pt idx="26">
                  <c:v>2015 March</c:v>
                </c:pt>
                <c:pt idx="27">
                  <c:v>2015 April</c:v>
                </c:pt>
                <c:pt idx="28">
                  <c:v>2015 May</c:v>
                </c:pt>
                <c:pt idx="29">
                  <c:v>2015 June</c:v>
                </c:pt>
                <c:pt idx="30">
                  <c:v>2015 July</c:v>
                </c:pt>
                <c:pt idx="31">
                  <c:v>2015 August</c:v>
                </c:pt>
                <c:pt idx="32">
                  <c:v>2015 September</c:v>
                </c:pt>
                <c:pt idx="33">
                  <c:v>2015 October</c:v>
                </c:pt>
                <c:pt idx="34">
                  <c:v>2015 November</c:v>
                </c:pt>
                <c:pt idx="35">
                  <c:v>2015 December</c:v>
                </c:pt>
                <c:pt idx="36">
                  <c:v>2016 January</c:v>
                </c:pt>
                <c:pt idx="37">
                  <c:v>2016 February</c:v>
                </c:pt>
                <c:pt idx="38">
                  <c:v>2016 March</c:v>
                </c:pt>
                <c:pt idx="39">
                  <c:v>2016 April</c:v>
                </c:pt>
                <c:pt idx="40">
                  <c:v>2016 May</c:v>
                </c:pt>
                <c:pt idx="41">
                  <c:v>2016 June</c:v>
                </c:pt>
                <c:pt idx="42">
                  <c:v>2016 July</c:v>
                </c:pt>
                <c:pt idx="43">
                  <c:v>2016 August</c:v>
                </c:pt>
                <c:pt idx="44">
                  <c:v>2016 September</c:v>
                </c:pt>
                <c:pt idx="45">
                  <c:v>2016 October</c:v>
                </c:pt>
                <c:pt idx="46">
                  <c:v>2016 November</c:v>
                </c:pt>
                <c:pt idx="47">
                  <c:v>2016 December</c:v>
                </c:pt>
                <c:pt idx="48">
                  <c:v>2017 January</c:v>
                </c:pt>
                <c:pt idx="49">
                  <c:v>2017 February</c:v>
                </c:pt>
                <c:pt idx="50">
                  <c:v>2017 March</c:v>
                </c:pt>
                <c:pt idx="51">
                  <c:v>2017 April</c:v>
                </c:pt>
                <c:pt idx="52">
                  <c:v>2017 May</c:v>
                </c:pt>
                <c:pt idx="53">
                  <c:v>2017 June</c:v>
                </c:pt>
                <c:pt idx="54">
                  <c:v>2017 July</c:v>
                </c:pt>
                <c:pt idx="55">
                  <c:v>2017 August</c:v>
                </c:pt>
                <c:pt idx="56">
                  <c:v>2017 September</c:v>
                </c:pt>
                <c:pt idx="57">
                  <c:v>2017 October</c:v>
                </c:pt>
                <c:pt idx="58">
                  <c:v>2017 November</c:v>
                </c:pt>
                <c:pt idx="59">
                  <c:v>2017 December</c:v>
                </c:pt>
                <c:pt idx="60">
                  <c:v>2018 January</c:v>
                </c:pt>
                <c:pt idx="61">
                  <c:v>2018 February</c:v>
                </c:pt>
                <c:pt idx="62">
                  <c:v>2018 March</c:v>
                </c:pt>
                <c:pt idx="63">
                  <c:v>2018 April</c:v>
                </c:pt>
                <c:pt idx="64">
                  <c:v>2018 May</c:v>
                </c:pt>
                <c:pt idx="65">
                  <c:v>2018 June</c:v>
                </c:pt>
                <c:pt idx="66">
                  <c:v>2018 July</c:v>
                </c:pt>
                <c:pt idx="67">
                  <c:v>2018 August</c:v>
                </c:pt>
                <c:pt idx="68">
                  <c:v>2018 September</c:v>
                </c:pt>
                <c:pt idx="69">
                  <c:v>2018 October</c:v>
                </c:pt>
                <c:pt idx="70">
                  <c:v>2018 November</c:v>
                </c:pt>
                <c:pt idx="71">
                  <c:v>2018 December</c:v>
                </c:pt>
                <c:pt idx="72">
                  <c:v>2019 January</c:v>
                </c:pt>
                <c:pt idx="73">
                  <c:v>2019 February</c:v>
                </c:pt>
                <c:pt idx="74">
                  <c:v>2019 March</c:v>
                </c:pt>
                <c:pt idx="75">
                  <c:v>2019 April</c:v>
                </c:pt>
                <c:pt idx="76">
                  <c:v>2019 May</c:v>
                </c:pt>
                <c:pt idx="77">
                  <c:v>2019 June</c:v>
                </c:pt>
                <c:pt idx="78">
                  <c:v>2019 July</c:v>
                </c:pt>
                <c:pt idx="79">
                  <c:v>2019 August</c:v>
                </c:pt>
                <c:pt idx="80">
                  <c:v>2019 September</c:v>
                </c:pt>
                <c:pt idx="81">
                  <c:v>2019 October</c:v>
                </c:pt>
                <c:pt idx="82">
                  <c:v>2019 November</c:v>
                </c:pt>
                <c:pt idx="83">
                  <c:v>2019 December</c:v>
                </c:pt>
                <c:pt idx="84">
                  <c:v>2020 January</c:v>
                </c:pt>
                <c:pt idx="85">
                  <c:v>2020 February</c:v>
                </c:pt>
                <c:pt idx="86">
                  <c:v>2020 March</c:v>
                </c:pt>
                <c:pt idx="87">
                  <c:v>2020 April</c:v>
                </c:pt>
                <c:pt idx="88">
                  <c:v>2020 May</c:v>
                </c:pt>
                <c:pt idx="89">
                  <c:v>2020 June</c:v>
                </c:pt>
                <c:pt idx="90">
                  <c:v>2020 July</c:v>
                </c:pt>
                <c:pt idx="91">
                  <c:v>2020 August</c:v>
                </c:pt>
                <c:pt idx="92">
                  <c:v>2020 September</c:v>
                </c:pt>
                <c:pt idx="93">
                  <c:v>2020 October</c:v>
                </c:pt>
                <c:pt idx="94">
                  <c:v>2020 November</c:v>
                </c:pt>
                <c:pt idx="95">
                  <c:v>2020 December</c:v>
                </c:pt>
                <c:pt idx="96">
                  <c:v>2021 January</c:v>
                </c:pt>
                <c:pt idx="97">
                  <c:v>2021 February</c:v>
                </c:pt>
                <c:pt idx="98">
                  <c:v>2021 March</c:v>
                </c:pt>
                <c:pt idx="99">
                  <c:v>2021 April</c:v>
                </c:pt>
                <c:pt idx="100">
                  <c:v>2021 May</c:v>
                </c:pt>
                <c:pt idx="101">
                  <c:v>2021 June</c:v>
                </c:pt>
                <c:pt idx="102">
                  <c:v>2021 July</c:v>
                </c:pt>
                <c:pt idx="103">
                  <c:v>2021 August</c:v>
                </c:pt>
                <c:pt idx="104">
                  <c:v>2021 September</c:v>
                </c:pt>
                <c:pt idx="105">
                  <c:v>2021 October</c:v>
                </c:pt>
                <c:pt idx="106">
                  <c:v>2021 November</c:v>
                </c:pt>
                <c:pt idx="107">
                  <c:v>2021 December</c:v>
                </c:pt>
                <c:pt idx="108">
                  <c:v>2022 January</c:v>
                </c:pt>
                <c:pt idx="109">
                  <c:v>2022 February</c:v>
                </c:pt>
                <c:pt idx="110">
                  <c:v>2022 March</c:v>
                </c:pt>
                <c:pt idx="111">
                  <c:v>2022 April</c:v>
                </c:pt>
                <c:pt idx="112">
                  <c:v>2022 May</c:v>
                </c:pt>
                <c:pt idx="113">
                  <c:v>2022 June</c:v>
                </c:pt>
                <c:pt idx="114">
                  <c:v>2022 July</c:v>
                </c:pt>
                <c:pt idx="115">
                  <c:v>2022 August</c:v>
                </c:pt>
                <c:pt idx="116">
                  <c:v>2022 September</c:v>
                </c:pt>
                <c:pt idx="117">
                  <c:v>2022 October</c:v>
                </c:pt>
                <c:pt idx="118">
                  <c:v>2022 November</c:v>
                </c:pt>
                <c:pt idx="119">
                  <c:v>2022 December</c:v>
                </c:pt>
                <c:pt idx="120">
                  <c:v>2023 January</c:v>
                </c:pt>
                <c:pt idx="121">
                  <c:v>2023 February</c:v>
                </c:pt>
                <c:pt idx="122">
                  <c:v>2023 March</c:v>
                </c:pt>
                <c:pt idx="123">
                  <c:v>2023 April</c:v>
                </c:pt>
                <c:pt idx="124">
                  <c:v>2023 May</c:v>
                </c:pt>
                <c:pt idx="125">
                  <c:v>2023 June</c:v>
                </c:pt>
                <c:pt idx="126">
                  <c:v>2023 July</c:v>
                </c:pt>
                <c:pt idx="127">
                  <c:v>2023 August</c:v>
                </c:pt>
                <c:pt idx="128">
                  <c:v>2023 September</c:v>
                </c:pt>
                <c:pt idx="129">
                  <c:v>2023 October</c:v>
                </c:pt>
                <c:pt idx="130">
                  <c:v>2023 November</c:v>
                </c:pt>
                <c:pt idx="131">
                  <c:v>2023 December</c:v>
                </c:pt>
                <c:pt idx="132">
                  <c:v>2024 January</c:v>
                </c:pt>
                <c:pt idx="133">
                  <c:v>2024 February</c:v>
                </c:pt>
                <c:pt idx="134">
                  <c:v>2024 March</c:v>
                </c:pt>
                <c:pt idx="135">
                  <c:v>2024 April</c:v>
                </c:pt>
                <c:pt idx="136">
                  <c:v>2024 May</c:v>
                </c:pt>
                <c:pt idx="137">
                  <c:v>2024 June</c:v>
                </c:pt>
                <c:pt idx="138">
                  <c:v>2024 July</c:v>
                </c:pt>
                <c:pt idx="139">
                  <c:v>2024 August</c:v>
                </c:pt>
                <c:pt idx="140">
                  <c:v>2024 September</c:v>
                </c:pt>
                <c:pt idx="141">
                  <c:v>2024 October</c:v>
                </c:pt>
                <c:pt idx="142">
                  <c:v>2024 November</c:v>
                </c:pt>
                <c:pt idx="143">
                  <c:v>2024 December</c:v>
                </c:pt>
              </c:strCache>
            </c:strRef>
          </c:cat>
          <c:val>
            <c:numRef>
              <c:f>'Historical trend ass. Lit_visua'!$B$101:$EO$101</c:f>
              <c:numCache>
                <c:formatCode>General</c:formatCode>
                <c:ptCount val="144"/>
                <c:pt idx="0" formatCode="0">
                  <c:v>480</c:v>
                </c:pt>
                <c:pt idx="1">
                  <c:v>389</c:v>
                </c:pt>
                <c:pt idx="2">
                  <c:v>465</c:v>
                </c:pt>
                <c:pt idx="3">
                  <c:v>389</c:v>
                </c:pt>
                <c:pt idx="4">
                  <c:v>233</c:v>
                </c:pt>
                <c:pt idx="5">
                  <c:v>244</c:v>
                </c:pt>
                <c:pt idx="6">
                  <c:v>323</c:v>
                </c:pt>
                <c:pt idx="7">
                  <c:v>423</c:v>
                </c:pt>
                <c:pt idx="8">
                  <c:v>461</c:v>
                </c:pt>
                <c:pt idx="9">
                  <c:v>416</c:v>
                </c:pt>
                <c:pt idx="10">
                  <c:v>298</c:v>
                </c:pt>
                <c:pt idx="11">
                  <c:v>442</c:v>
                </c:pt>
                <c:pt idx="12">
                  <c:v>438</c:v>
                </c:pt>
                <c:pt idx="13">
                  <c:v>350</c:v>
                </c:pt>
                <c:pt idx="14">
                  <c:v>351</c:v>
                </c:pt>
                <c:pt idx="15">
                  <c:v>227</c:v>
                </c:pt>
                <c:pt idx="16">
                  <c:v>228</c:v>
                </c:pt>
                <c:pt idx="17">
                  <c:v>308</c:v>
                </c:pt>
                <c:pt idx="18">
                  <c:v>389</c:v>
                </c:pt>
                <c:pt idx="19">
                  <c:v>373</c:v>
                </c:pt>
                <c:pt idx="20">
                  <c:v>384</c:v>
                </c:pt>
                <c:pt idx="21">
                  <c:v>336</c:v>
                </c:pt>
                <c:pt idx="22">
                  <c:v>319</c:v>
                </c:pt>
                <c:pt idx="23">
                  <c:v>405</c:v>
                </c:pt>
                <c:pt idx="24">
                  <c:v>415</c:v>
                </c:pt>
                <c:pt idx="25">
                  <c:v>352</c:v>
                </c:pt>
                <c:pt idx="26">
                  <c:v>383</c:v>
                </c:pt>
                <c:pt idx="27">
                  <c:v>365</c:v>
                </c:pt>
                <c:pt idx="28">
                  <c:v>408</c:v>
                </c:pt>
                <c:pt idx="29">
                  <c:v>410</c:v>
                </c:pt>
                <c:pt idx="30">
                  <c:v>418</c:v>
                </c:pt>
                <c:pt idx="31">
                  <c:v>375</c:v>
                </c:pt>
                <c:pt idx="32">
                  <c:v>405</c:v>
                </c:pt>
                <c:pt idx="33">
                  <c:v>388</c:v>
                </c:pt>
                <c:pt idx="34">
                  <c:v>380</c:v>
                </c:pt>
                <c:pt idx="35">
                  <c:v>484</c:v>
                </c:pt>
                <c:pt idx="36">
                  <c:v>403</c:v>
                </c:pt>
                <c:pt idx="37">
                  <c:v>377</c:v>
                </c:pt>
                <c:pt idx="38">
                  <c:v>304</c:v>
                </c:pt>
                <c:pt idx="39">
                  <c:v>292</c:v>
                </c:pt>
                <c:pt idx="40">
                  <c:v>270</c:v>
                </c:pt>
                <c:pt idx="41">
                  <c:v>331</c:v>
                </c:pt>
                <c:pt idx="42">
                  <c:v>250</c:v>
                </c:pt>
                <c:pt idx="43">
                  <c:v>270</c:v>
                </c:pt>
                <c:pt idx="44">
                  <c:v>312</c:v>
                </c:pt>
                <c:pt idx="45">
                  <c:v>339</c:v>
                </c:pt>
                <c:pt idx="46">
                  <c:v>470</c:v>
                </c:pt>
                <c:pt idx="47">
                  <c:v>454</c:v>
                </c:pt>
                <c:pt idx="48">
                  <c:v>340</c:v>
                </c:pt>
                <c:pt idx="49">
                  <c:v>340</c:v>
                </c:pt>
                <c:pt idx="50">
                  <c:v>344</c:v>
                </c:pt>
                <c:pt idx="51">
                  <c:v>324</c:v>
                </c:pt>
                <c:pt idx="52">
                  <c:v>316</c:v>
                </c:pt>
                <c:pt idx="53">
                  <c:v>321</c:v>
                </c:pt>
                <c:pt idx="54">
                  <c:v>264</c:v>
                </c:pt>
                <c:pt idx="55">
                  <c:v>292</c:v>
                </c:pt>
                <c:pt idx="56">
                  <c:v>315</c:v>
                </c:pt>
                <c:pt idx="57">
                  <c:v>396</c:v>
                </c:pt>
                <c:pt idx="58">
                  <c:v>371</c:v>
                </c:pt>
                <c:pt idx="59">
                  <c:v>385</c:v>
                </c:pt>
                <c:pt idx="60">
                  <c:v>373</c:v>
                </c:pt>
                <c:pt idx="61">
                  <c:v>266</c:v>
                </c:pt>
                <c:pt idx="62">
                  <c:v>319</c:v>
                </c:pt>
                <c:pt idx="63">
                  <c:v>330</c:v>
                </c:pt>
                <c:pt idx="64">
                  <c:v>263</c:v>
                </c:pt>
                <c:pt idx="65">
                  <c:v>207</c:v>
                </c:pt>
                <c:pt idx="66">
                  <c:v>193</c:v>
                </c:pt>
                <c:pt idx="67">
                  <c:v>227</c:v>
                </c:pt>
                <c:pt idx="68">
                  <c:v>299</c:v>
                </c:pt>
                <c:pt idx="69">
                  <c:v>352</c:v>
                </c:pt>
                <c:pt idx="70">
                  <c:v>224</c:v>
                </c:pt>
                <c:pt idx="71">
                  <c:v>249</c:v>
                </c:pt>
                <c:pt idx="72">
                  <c:v>331</c:v>
                </c:pt>
                <c:pt idx="73">
                  <c:v>342</c:v>
                </c:pt>
                <c:pt idx="74">
                  <c:v>378</c:v>
                </c:pt>
                <c:pt idx="75">
                  <c:v>300</c:v>
                </c:pt>
                <c:pt idx="76">
                  <c:v>272</c:v>
                </c:pt>
                <c:pt idx="77">
                  <c:v>290</c:v>
                </c:pt>
                <c:pt idx="78">
                  <c:v>302</c:v>
                </c:pt>
                <c:pt idx="79">
                  <c:v>272</c:v>
                </c:pt>
                <c:pt idx="80">
                  <c:v>340</c:v>
                </c:pt>
                <c:pt idx="81">
                  <c:v>336</c:v>
                </c:pt>
                <c:pt idx="82">
                  <c:v>299</c:v>
                </c:pt>
                <c:pt idx="83">
                  <c:v>369</c:v>
                </c:pt>
                <c:pt idx="84">
                  <c:v>406</c:v>
                </c:pt>
                <c:pt idx="85">
                  <c:v>443</c:v>
                </c:pt>
                <c:pt idx="86">
                  <c:v>383</c:v>
                </c:pt>
                <c:pt idx="87">
                  <c:v>356</c:v>
                </c:pt>
                <c:pt idx="88">
                  <c:v>386</c:v>
                </c:pt>
                <c:pt idx="89">
                  <c:v>433</c:v>
                </c:pt>
                <c:pt idx="90">
                  <c:v>475</c:v>
                </c:pt>
                <c:pt idx="91">
                  <c:v>465</c:v>
                </c:pt>
                <c:pt idx="92">
                  <c:v>493</c:v>
                </c:pt>
                <c:pt idx="93">
                  <c:v>412</c:v>
                </c:pt>
                <c:pt idx="94">
                  <c:v>446</c:v>
                </c:pt>
                <c:pt idx="95">
                  <c:v>509</c:v>
                </c:pt>
                <c:pt idx="96">
                  <c:v>385</c:v>
                </c:pt>
                <c:pt idx="97">
                  <c:v>372</c:v>
                </c:pt>
                <c:pt idx="98">
                  <c:v>383</c:v>
                </c:pt>
                <c:pt idx="99">
                  <c:v>401</c:v>
                </c:pt>
                <c:pt idx="100">
                  <c:v>352</c:v>
                </c:pt>
                <c:pt idx="101">
                  <c:v>343</c:v>
                </c:pt>
                <c:pt idx="102">
                  <c:v>314</c:v>
                </c:pt>
                <c:pt idx="103">
                  <c:v>306</c:v>
                </c:pt>
                <c:pt idx="104">
                  <c:v>436</c:v>
                </c:pt>
                <c:pt idx="105">
                  <c:v>408</c:v>
                </c:pt>
                <c:pt idx="106">
                  <c:v>374</c:v>
                </c:pt>
                <c:pt idx="107">
                  <c:v>415</c:v>
                </c:pt>
                <c:pt idx="108">
                  <c:v>448</c:v>
                </c:pt>
                <c:pt idx="109">
                  <c:v>402</c:v>
                </c:pt>
                <c:pt idx="110">
                  <c:v>369</c:v>
                </c:pt>
                <c:pt idx="111">
                  <c:v>333</c:v>
                </c:pt>
                <c:pt idx="112">
                  <c:v>283</c:v>
                </c:pt>
                <c:pt idx="113">
                  <c:v>238</c:v>
                </c:pt>
                <c:pt idx="114">
                  <c:v>287</c:v>
                </c:pt>
                <c:pt idx="115">
                  <c:v>317</c:v>
                </c:pt>
                <c:pt idx="116">
                  <c:v>240</c:v>
                </c:pt>
                <c:pt idx="117">
                  <c:v>320</c:v>
                </c:pt>
                <c:pt idx="118">
                  <c:v>310</c:v>
                </c:pt>
                <c:pt idx="119">
                  <c:v>365</c:v>
                </c:pt>
                <c:pt idx="120">
                  <c:v>447</c:v>
                </c:pt>
                <c:pt idx="121">
                  <c:v>369</c:v>
                </c:pt>
                <c:pt idx="122">
                  <c:v>451</c:v>
                </c:pt>
                <c:pt idx="123">
                  <c:v>349</c:v>
                </c:pt>
                <c:pt idx="124">
                  <c:v>281</c:v>
                </c:pt>
                <c:pt idx="125">
                  <c:v>262</c:v>
                </c:pt>
                <c:pt idx="126">
                  <c:v>312</c:v>
                </c:pt>
                <c:pt idx="127">
                  <c:v>352</c:v>
                </c:pt>
                <c:pt idx="128">
                  <c:v>376</c:v>
                </c:pt>
                <c:pt idx="129">
                  <c:v>604</c:v>
                </c:pt>
                <c:pt idx="130">
                  <c:v>416</c:v>
                </c:pt>
                <c:pt idx="131">
                  <c:v>575</c:v>
                </c:pt>
                <c:pt idx="132">
                  <c:v>740</c:v>
                </c:pt>
                <c:pt idx="133">
                  <c:v>627</c:v>
                </c:pt>
                <c:pt idx="134">
                  <c:v>572</c:v>
                </c:pt>
                <c:pt idx="135">
                  <c:v>546</c:v>
                </c:pt>
                <c:pt idx="136">
                  <c:v>437</c:v>
                </c:pt>
                <c:pt idx="137">
                  <c:v>380</c:v>
                </c:pt>
                <c:pt idx="138">
                  <c:v>426</c:v>
                </c:pt>
                <c:pt idx="139">
                  <c:v>433</c:v>
                </c:pt>
                <c:pt idx="140">
                  <c:v>474</c:v>
                </c:pt>
                <c:pt idx="141">
                  <c:v>555</c:v>
                </c:pt>
                <c:pt idx="142">
                  <c:v>664</c:v>
                </c:pt>
                <c:pt idx="143">
                  <c:v>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7F-44B8-96CD-1D3B7D19D0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12266736"/>
        <c:axId val="2112266256"/>
      </c:areaChart>
      <c:catAx>
        <c:axId val="211226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2266256"/>
        <c:crosses val="autoZero"/>
        <c:auto val="1"/>
        <c:lblAlgn val="ctr"/>
        <c:lblOffset val="100"/>
        <c:noMultiLvlLbl val="0"/>
      </c:catAx>
      <c:valAx>
        <c:axId val="2112266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22667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'Historical trend ass. Lit_visua'!$B$106</c:f>
              <c:strCache>
                <c:ptCount val="1"/>
                <c:pt idx="0">
                  <c:v>Industry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'Historical trend ass. Lit_visua'!$A$107:$A$131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Lit_visua'!$B$107:$B$131</c:f>
              <c:numCache>
                <c:formatCode>#,##0</c:formatCode>
                <c:ptCount val="25"/>
                <c:pt idx="0">
                  <c:v>2188</c:v>
                </c:pt>
                <c:pt idx="1">
                  <c:v>2250</c:v>
                </c:pt>
                <c:pt idx="2">
                  <c:v>2448</c:v>
                </c:pt>
                <c:pt idx="3">
                  <c:v>2528</c:v>
                </c:pt>
                <c:pt idx="4">
                  <c:v>2635</c:v>
                </c:pt>
                <c:pt idx="5">
                  <c:v>2716</c:v>
                </c:pt>
                <c:pt idx="6">
                  <c:v>2811</c:v>
                </c:pt>
                <c:pt idx="7">
                  <c:v>2951</c:v>
                </c:pt>
                <c:pt idx="8">
                  <c:v>2666</c:v>
                </c:pt>
                <c:pt idx="9">
                  <c:v>2327</c:v>
                </c:pt>
                <c:pt idx="10">
                  <c:v>2548</c:v>
                </c:pt>
                <c:pt idx="11">
                  <c:v>2666</c:v>
                </c:pt>
                <c:pt idx="12">
                  <c:v>2809</c:v>
                </c:pt>
                <c:pt idx="13">
                  <c:v>2878</c:v>
                </c:pt>
                <c:pt idx="14">
                  <c:v>3018</c:v>
                </c:pt>
                <c:pt idx="15">
                  <c:v>3170</c:v>
                </c:pt>
                <c:pt idx="16">
                  <c:v>3269</c:v>
                </c:pt>
                <c:pt idx="17">
                  <c:v>3497</c:v>
                </c:pt>
                <c:pt idx="18">
                  <c:v>3529</c:v>
                </c:pt>
                <c:pt idx="19">
                  <c:v>3645</c:v>
                </c:pt>
                <c:pt idx="20">
                  <c:v>3593</c:v>
                </c:pt>
                <c:pt idx="21">
                  <c:v>3778</c:v>
                </c:pt>
                <c:pt idx="22">
                  <c:v>3453</c:v>
                </c:pt>
                <c:pt idx="23">
                  <c:v>3247</c:v>
                </c:pt>
                <c:pt idx="24">
                  <c:v>3409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8EF-4F1F-9196-79EC74C84191}"/>
            </c:ext>
          </c:extLst>
        </c:ser>
        <c:ser>
          <c:idx val="1"/>
          <c:order val="1"/>
          <c:tx>
            <c:strRef>
              <c:f>'Historical trend ass. Lit_visua'!$C$106</c:f>
              <c:strCache>
                <c:ptCount val="1"/>
                <c:pt idx="0">
                  <c:v>Transport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'Historical trend ass. Lit_visua'!$A$107:$A$131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Lit_visua'!$C$107:$C$131</c:f>
              <c:numCache>
                <c:formatCode>0</c:formatCode>
                <c:ptCount val="25"/>
                <c:pt idx="0">
                  <c:v>76</c:v>
                </c:pt>
                <c:pt idx="1">
                  <c:v>91</c:v>
                </c:pt>
                <c:pt idx="2">
                  <c:v>83</c:v>
                </c:pt>
                <c:pt idx="3">
                  <c:v>91</c:v>
                </c:pt>
                <c:pt idx="4">
                  <c:v>92</c:v>
                </c:pt>
                <c:pt idx="5">
                  <c:v>104</c:v>
                </c:pt>
                <c:pt idx="6">
                  <c:v>91</c:v>
                </c:pt>
                <c:pt idx="7">
                  <c:v>70</c:v>
                </c:pt>
                <c:pt idx="8">
                  <c:v>83</c:v>
                </c:pt>
                <c:pt idx="9">
                  <c:v>77</c:v>
                </c:pt>
                <c:pt idx="10">
                  <c:v>76</c:v>
                </c:pt>
                <c:pt idx="11">
                  <c:v>74</c:v>
                </c:pt>
                <c:pt idx="12">
                  <c:v>76</c:v>
                </c:pt>
                <c:pt idx="13">
                  <c:v>74</c:v>
                </c:pt>
                <c:pt idx="14">
                  <c:v>63</c:v>
                </c:pt>
                <c:pt idx="15">
                  <c:v>67</c:v>
                </c:pt>
                <c:pt idx="16">
                  <c:v>72</c:v>
                </c:pt>
                <c:pt idx="17">
                  <c:v>74</c:v>
                </c:pt>
                <c:pt idx="18">
                  <c:v>80</c:v>
                </c:pt>
                <c:pt idx="19">
                  <c:v>78</c:v>
                </c:pt>
                <c:pt idx="20">
                  <c:v>73</c:v>
                </c:pt>
                <c:pt idx="21">
                  <c:v>79</c:v>
                </c:pt>
                <c:pt idx="22">
                  <c:v>92</c:v>
                </c:pt>
                <c:pt idx="23">
                  <c:v>105</c:v>
                </c:pt>
                <c:pt idx="24">
                  <c:v>119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8EF-4F1F-9196-79EC74C84191}"/>
            </c:ext>
          </c:extLst>
        </c:ser>
        <c:ser>
          <c:idx val="2"/>
          <c:order val="2"/>
          <c:tx>
            <c:strRef>
              <c:f>'Historical trend ass. Lit_visua'!$D$106</c:f>
              <c:strCache>
                <c:ptCount val="1"/>
                <c:pt idx="0">
                  <c:v>Buildings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'Historical trend ass. Lit_visua'!$A$107:$A$131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Lit_visua'!$D$107:$D$131</c:f>
              <c:numCache>
                <c:formatCode>0</c:formatCode>
                <c:ptCount val="25"/>
                <c:pt idx="0">
                  <c:v>3640</c:v>
                </c:pt>
                <c:pt idx="1">
                  <c:v>3814</c:v>
                </c:pt>
                <c:pt idx="2">
                  <c:v>3908</c:v>
                </c:pt>
                <c:pt idx="3">
                  <c:v>4294</c:v>
                </c:pt>
                <c:pt idx="4">
                  <c:v>4634</c:v>
                </c:pt>
                <c:pt idx="5">
                  <c:v>4848</c:v>
                </c:pt>
                <c:pt idx="6">
                  <c:v>5210</c:v>
                </c:pt>
                <c:pt idx="7">
                  <c:v>5502</c:v>
                </c:pt>
                <c:pt idx="8">
                  <c:v>5970</c:v>
                </c:pt>
                <c:pt idx="9">
                  <c:v>5681</c:v>
                </c:pt>
                <c:pt idx="10">
                  <c:v>5431</c:v>
                </c:pt>
                <c:pt idx="11">
                  <c:v>5573</c:v>
                </c:pt>
                <c:pt idx="12">
                  <c:v>5757</c:v>
                </c:pt>
                <c:pt idx="13">
                  <c:v>5723</c:v>
                </c:pt>
                <c:pt idx="14">
                  <c:v>5875</c:v>
                </c:pt>
                <c:pt idx="15">
                  <c:v>5770</c:v>
                </c:pt>
                <c:pt idx="16">
                  <c:v>6055</c:v>
                </c:pt>
                <c:pt idx="17">
                  <c:v>6145</c:v>
                </c:pt>
                <c:pt idx="18">
                  <c:v>6420</c:v>
                </c:pt>
                <c:pt idx="19">
                  <c:v>6456</c:v>
                </c:pt>
                <c:pt idx="20">
                  <c:v>6345</c:v>
                </c:pt>
                <c:pt idx="21">
                  <c:v>6937</c:v>
                </c:pt>
                <c:pt idx="22">
                  <c:v>6783</c:v>
                </c:pt>
                <c:pt idx="23">
                  <c:v>6542</c:v>
                </c:pt>
                <c:pt idx="24">
                  <c:v>6951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8EF-4F1F-9196-79EC74C841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4831904"/>
        <c:axId val="574828544"/>
      </c:lineChart>
      <c:catAx>
        <c:axId val="574831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4828544"/>
        <c:crosses val="autoZero"/>
        <c:auto val="1"/>
        <c:lblAlgn val="ctr"/>
        <c:lblOffset val="100"/>
        <c:noMultiLvlLbl val="0"/>
      </c:catAx>
      <c:valAx>
        <c:axId val="574828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4831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336870570604512"/>
          <c:y val="3.9568345323741004E-2"/>
          <c:w val="0.87323948142845775"/>
          <c:h val="0.60201689857260998"/>
        </c:manualLayout>
      </c:layout>
      <c:areaChart>
        <c:grouping val="stacked"/>
        <c:varyColors val="0"/>
        <c:ser>
          <c:idx val="3"/>
          <c:order val="2"/>
          <c:tx>
            <c:strRef>
              <c:f>'Historical trend ass. Lit_visua'!$C$134</c:f>
              <c:strCache>
                <c:ptCount val="1"/>
                <c:pt idx="0">
                  <c:v>Coal</c:v>
                </c:pt>
              </c:strCache>
            </c:strRef>
          </c:tx>
          <c:spPr>
            <a:solidFill>
              <a:schemeClr val="accent4"/>
            </a:solidFill>
            <a:ln w="25400">
              <a:noFill/>
            </a:ln>
            <a:effectLst/>
          </c:spPr>
          <c:val>
            <c:numRef>
              <c:f>'Historical trend ass. Lit_visua'!$C$135:$C$159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12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BA-447F-8C4B-A55EAE7968BD}"/>
            </c:ext>
          </c:extLst>
        </c:ser>
        <c:ser>
          <c:idx val="6"/>
          <c:order val="3"/>
          <c:tx>
            <c:strRef>
              <c:f>'Historical trend ass. Lit_visua'!$D$134</c:f>
              <c:strCache>
                <c:ptCount val="1"/>
                <c:pt idx="0">
                  <c:v>Biofuels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25400">
              <a:noFill/>
            </a:ln>
            <a:effectLst/>
          </c:spPr>
          <c:val>
            <c:numRef>
              <c:f>'Historical trend ass. Lit_visua'!$D$135:$D$159</c:f>
              <c:numCache>
                <c:formatCode>0</c:formatCode>
                <c:ptCount val="25"/>
                <c:pt idx="0">
                  <c:v>0</c:v>
                </c:pt>
                <c:pt idx="1">
                  <c:v>2</c:v>
                </c:pt>
                <c:pt idx="2">
                  <c:v>3.9</c:v>
                </c:pt>
                <c:pt idx="3">
                  <c:v>6.6</c:v>
                </c:pt>
                <c:pt idx="4">
                  <c:v>4.3</c:v>
                </c:pt>
                <c:pt idx="5">
                  <c:v>2.6</c:v>
                </c:pt>
                <c:pt idx="6">
                  <c:v>19.3</c:v>
                </c:pt>
                <c:pt idx="7">
                  <c:v>48.4</c:v>
                </c:pt>
                <c:pt idx="8">
                  <c:v>59.6</c:v>
                </c:pt>
                <c:pt idx="9">
                  <c:v>87.3</c:v>
                </c:pt>
                <c:pt idx="10">
                  <c:v>116</c:v>
                </c:pt>
                <c:pt idx="11">
                  <c:v>121.4</c:v>
                </c:pt>
                <c:pt idx="12">
                  <c:v>175.5</c:v>
                </c:pt>
                <c:pt idx="13">
                  <c:v>278.7</c:v>
                </c:pt>
                <c:pt idx="14">
                  <c:v>292.60000000000002</c:v>
                </c:pt>
                <c:pt idx="15">
                  <c:v>318.2</c:v>
                </c:pt>
                <c:pt idx="16">
                  <c:v>262.2</c:v>
                </c:pt>
                <c:pt idx="17">
                  <c:v>292.3</c:v>
                </c:pt>
                <c:pt idx="18">
                  <c:v>322.39999999999998</c:v>
                </c:pt>
                <c:pt idx="19">
                  <c:v>295.5</c:v>
                </c:pt>
                <c:pt idx="20">
                  <c:v>316.89999999999998</c:v>
                </c:pt>
                <c:pt idx="21">
                  <c:v>322.5</c:v>
                </c:pt>
                <c:pt idx="22">
                  <c:v>315.3</c:v>
                </c:pt>
                <c:pt idx="23">
                  <c:v>332.8</c:v>
                </c:pt>
                <c:pt idx="24">
                  <c:v>534.79999999999995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BA-447F-8C4B-A55EAE7968BD}"/>
            </c:ext>
          </c:extLst>
        </c:ser>
        <c:ser>
          <c:idx val="7"/>
          <c:order val="4"/>
          <c:tx>
            <c:strRef>
              <c:f>'Historical trend ass. Lit_visua'!$E$134</c:f>
              <c:strCache>
                <c:ptCount val="1"/>
                <c:pt idx="0">
                  <c:v>Oil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val>
            <c:numRef>
              <c:f>'Historical trend ass. Lit_visua'!$E$135:$E$159</c:f>
              <c:numCache>
                <c:formatCode>General</c:formatCode>
                <c:ptCount val="25"/>
                <c:pt idx="0">
                  <c:v>655</c:v>
                </c:pt>
                <c:pt idx="1">
                  <c:v>720</c:v>
                </c:pt>
                <c:pt idx="2">
                  <c:v>547</c:v>
                </c:pt>
                <c:pt idx="3">
                  <c:v>327</c:v>
                </c:pt>
                <c:pt idx="4">
                  <c:v>361</c:v>
                </c:pt>
                <c:pt idx="5">
                  <c:v>401</c:v>
                </c:pt>
                <c:pt idx="6">
                  <c:v>329</c:v>
                </c:pt>
                <c:pt idx="7">
                  <c:v>408</c:v>
                </c:pt>
                <c:pt idx="8">
                  <c:v>566</c:v>
                </c:pt>
                <c:pt idx="9">
                  <c:v>735</c:v>
                </c:pt>
                <c:pt idx="10">
                  <c:v>647</c:v>
                </c:pt>
                <c:pt idx="11">
                  <c:v>209</c:v>
                </c:pt>
                <c:pt idx="12">
                  <c:v>240</c:v>
                </c:pt>
                <c:pt idx="13">
                  <c:v>206</c:v>
                </c:pt>
                <c:pt idx="14">
                  <c:v>160</c:v>
                </c:pt>
                <c:pt idx="15">
                  <c:v>275</c:v>
                </c:pt>
                <c:pt idx="16">
                  <c:v>221</c:v>
                </c:pt>
                <c:pt idx="17">
                  <c:v>139</c:v>
                </c:pt>
                <c:pt idx="18">
                  <c:v>131</c:v>
                </c:pt>
                <c:pt idx="19">
                  <c:v>67</c:v>
                </c:pt>
                <c:pt idx="20">
                  <c:v>123</c:v>
                </c:pt>
                <c:pt idx="21">
                  <c:v>95</c:v>
                </c:pt>
                <c:pt idx="22">
                  <c:v>376</c:v>
                </c:pt>
                <c:pt idx="23">
                  <c:v>214</c:v>
                </c:pt>
                <c:pt idx="24">
                  <c:v>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FBA-447F-8C4B-A55EAE7968BD}"/>
            </c:ext>
          </c:extLst>
        </c:ser>
        <c:ser>
          <c:idx val="10"/>
          <c:order val="5"/>
          <c:tx>
            <c:strRef>
              <c:f>'Historical trend ass. Lit_visua'!$F$134</c:f>
              <c:strCache>
                <c:ptCount val="1"/>
                <c:pt idx="0">
                  <c:v>Natural Gas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 w="25400">
              <a:noFill/>
            </a:ln>
            <a:effectLst/>
          </c:spPr>
          <c:val>
            <c:numRef>
              <c:f>'Historical trend ass. Lit_visua'!$F$135:$F$159</c:f>
              <c:numCache>
                <c:formatCode>#,##0</c:formatCode>
                <c:ptCount val="25"/>
                <c:pt idx="0">
                  <c:v>1616</c:v>
                </c:pt>
                <c:pt idx="1">
                  <c:v>1884</c:v>
                </c:pt>
                <c:pt idx="2">
                  <c:v>2109</c:v>
                </c:pt>
                <c:pt idx="3">
                  <c:v>2518</c:v>
                </c:pt>
                <c:pt idx="4">
                  <c:v>2691</c:v>
                </c:pt>
                <c:pt idx="5">
                  <c:v>3017</c:v>
                </c:pt>
                <c:pt idx="6">
                  <c:v>2464</c:v>
                </c:pt>
                <c:pt idx="7">
                  <c:v>2405</c:v>
                </c:pt>
                <c:pt idx="8">
                  <c:v>2026</c:v>
                </c:pt>
                <c:pt idx="9">
                  <c:v>2101</c:v>
                </c:pt>
                <c:pt idx="10">
                  <c:v>3186</c:v>
                </c:pt>
                <c:pt idx="11">
                  <c:v>2668</c:v>
                </c:pt>
                <c:pt idx="12">
                  <c:v>2879</c:v>
                </c:pt>
                <c:pt idx="13">
                  <c:v>2219</c:v>
                </c:pt>
                <c:pt idx="14">
                  <c:v>1749</c:v>
                </c:pt>
                <c:pt idx="15">
                  <c:v>1979</c:v>
                </c:pt>
                <c:pt idx="16">
                  <c:v>986</c:v>
                </c:pt>
                <c:pt idx="17">
                  <c:v>597</c:v>
                </c:pt>
                <c:pt idx="18">
                  <c:v>330</c:v>
                </c:pt>
                <c:pt idx="19">
                  <c:v>523</c:v>
                </c:pt>
                <c:pt idx="20">
                  <c:v>1698</c:v>
                </c:pt>
                <c:pt idx="21">
                  <c:v>1221</c:v>
                </c:pt>
                <c:pt idx="22">
                  <c:v>514</c:v>
                </c:pt>
                <c:pt idx="23">
                  <c:v>584</c:v>
                </c:pt>
                <c:pt idx="24">
                  <c:v>921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FBA-447F-8C4B-A55EAE7968BD}"/>
            </c:ext>
          </c:extLst>
        </c:ser>
        <c:ser>
          <c:idx val="12"/>
          <c:order val="6"/>
          <c:tx>
            <c:strRef>
              <c:f>'Historical trend ass. Lit_visua'!$G$134</c:f>
              <c:strCache>
                <c:ptCount val="1"/>
                <c:pt idx="0">
                  <c:v>Waste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 w="25400">
              <a:noFill/>
            </a:ln>
            <a:effectLst/>
          </c:spPr>
          <c:val>
            <c:numRef>
              <c:f>'Historical trend ass. Lit_visua'!$G$135:$G$159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45</c:v>
                </c:pt>
                <c:pt idx="14">
                  <c:v>72</c:v>
                </c:pt>
                <c:pt idx="15">
                  <c:v>103</c:v>
                </c:pt>
                <c:pt idx="16">
                  <c:v>151</c:v>
                </c:pt>
                <c:pt idx="17">
                  <c:v>156</c:v>
                </c:pt>
                <c:pt idx="18">
                  <c:v>132</c:v>
                </c:pt>
                <c:pt idx="19">
                  <c:v>133</c:v>
                </c:pt>
                <c:pt idx="20">
                  <c:v>206</c:v>
                </c:pt>
                <c:pt idx="21">
                  <c:v>379</c:v>
                </c:pt>
                <c:pt idx="22">
                  <c:v>401</c:v>
                </c:pt>
                <c:pt idx="23">
                  <c:v>410</c:v>
                </c:pt>
                <c:pt idx="24">
                  <c:v>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FBA-447F-8C4B-A55EAE7968BD}"/>
            </c:ext>
          </c:extLst>
        </c:ser>
        <c:ser>
          <c:idx val="13"/>
          <c:order val="7"/>
          <c:tx>
            <c:strRef>
              <c:f>'Historical trend ass. Lit_visua'!$H$134</c:f>
              <c:strCache>
                <c:ptCount val="1"/>
                <c:pt idx="0">
                  <c:v>Other sources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val>
            <c:numRef>
              <c:f>'Historical trend ass. Lit_visua'!$H$135:$H$159</c:f>
              <c:numCache>
                <c:formatCode>General</c:formatCode>
                <c:ptCount val="25"/>
                <c:pt idx="0">
                  <c:v>91</c:v>
                </c:pt>
                <c:pt idx="1">
                  <c:v>68</c:v>
                </c:pt>
                <c:pt idx="2">
                  <c:v>138</c:v>
                </c:pt>
                <c:pt idx="3">
                  <c:v>167</c:v>
                </c:pt>
                <c:pt idx="4">
                  <c:v>170</c:v>
                </c:pt>
                <c:pt idx="5">
                  <c:v>200</c:v>
                </c:pt>
                <c:pt idx="6">
                  <c:v>197</c:v>
                </c:pt>
                <c:pt idx="7">
                  <c:v>231</c:v>
                </c:pt>
                <c:pt idx="8">
                  <c:v>238</c:v>
                </c:pt>
                <c:pt idx="9">
                  <c:v>271</c:v>
                </c:pt>
                <c:pt idx="10">
                  <c:v>250</c:v>
                </c:pt>
                <c:pt idx="11">
                  <c:v>257</c:v>
                </c:pt>
                <c:pt idx="12">
                  <c:v>227</c:v>
                </c:pt>
                <c:pt idx="13">
                  <c:v>237</c:v>
                </c:pt>
                <c:pt idx="14">
                  <c:v>243</c:v>
                </c:pt>
                <c:pt idx="15">
                  <c:v>265</c:v>
                </c:pt>
                <c:pt idx="16">
                  <c:v>270</c:v>
                </c:pt>
                <c:pt idx="17">
                  <c:v>250</c:v>
                </c:pt>
                <c:pt idx="18">
                  <c:v>231</c:v>
                </c:pt>
                <c:pt idx="19">
                  <c:v>223</c:v>
                </c:pt>
                <c:pt idx="20">
                  <c:v>206</c:v>
                </c:pt>
                <c:pt idx="21">
                  <c:v>192</c:v>
                </c:pt>
                <c:pt idx="22">
                  <c:v>63</c:v>
                </c:pt>
                <c:pt idx="23">
                  <c:v>24</c:v>
                </c:pt>
                <c:pt idx="24">
                  <c:v>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FBA-447F-8C4B-A55EAE7968BD}"/>
            </c:ext>
          </c:extLst>
        </c:ser>
        <c:ser>
          <c:idx val="16"/>
          <c:order val="9"/>
          <c:tx>
            <c:strRef>
              <c:f>'Historical trend ass. Lit_visua'!$J$134</c:f>
              <c:strCache>
                <c:ptCount val="1"/>
                <c:pt idx="0">
                  <c:v>Wind energy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cat>
            <c:numRef>
              <c:f>'Historical trend ass. Lit_visua'!$A$135:$A$159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Lit_visua'!$J$135:$J$159</c:f>
              <c:numCache>
                <c:formatCode>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1.2</c:v>
                </c:pt>
                <c:pt idx="5">
                  <c:v>1.8</c:v>
                </c:pt>
                <c:pt idx="6">
                  <c:v>13.7</c:v>
                </c:pt>
                <c:pt idx="7">
                  <c:v>106.1</c:v>
                </c:pt>
                <c:pt idx="8">
                  <c:v>131.1</c:v>
                </c:pt>
                <c:pt idx="9">
                  <c:v>157.69999999999999</c:v>
                </c:pt>
                <c:pt idx="10">
                  <c:v>224</c:v>
                </c:pt>
                <c:pt idx="11">
                  <c:v>475</c:v>
                </c:pt>
                <c:pt idx="12">
                  <c:v>540.1</c:v>
                </c:pt>
                <c:pt idx="13">
                  <c:v>602.70000000000005</c:v>
                </c:pt>
                <c:pt idx="14">
                  <c:v>639.1</c:v>
                </c:pt>
                <c:pt idx="15">
                  <c:v>810.3</c:v>
                </c:pt>
                <c:pt idx="16">
                  <c:v>1135.9000000000001</c:v>
                </c:pt>
                <c:pt idx="17">
                  <c:v>1363</c:v>
                </c:pt>
                <c:pt idx="18">
                  <c:v>1144</c:v>
                </c:pt>
                <c:pt idx="19">
                  <c:v>1499.4</c:v>
                </c:pt>
                <c:pt idx="20">
                  <c:v>1551</c:v>
                </c:pt>
                <c:pt idx="21">
                  <c:v>1361</c:v>
                </c:pt>
                <c:pt idx="22">
                  <c:v>1512.4</c:v>
                </c:pt>
                <c:pt idx="23">
                  <c:v>2536.1</c:v>
                </c:pt>
                <c:pt idx="24">
                  <c:v>3448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FBA-447F-8C4B-A55EAE7968BD}"/>
            </c:ext>
          </c:extLst>
        </c:ser>
        <c:ser>
          <c:idx val="15"/>
          <c:order val="8"/>
          <c:tx>
            <c:strRef>
              <c:f>'Historical trend ass. Lit_visua'!$I$134</c:f>
              <c:strCache>
                <c:ptCount val="1"/>
                <c:pt idx="0">
                  <c:v>Hydropower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 w="25400">
              <a:noFill/>
            </a:ln>
            <a:effectLst/>
          </c:spPr>
          <c:val>
            <c:numRef>
              <c:f>'Historical trend ass. Lit_visua'!$I$135:$I$159</c:f>
              <c:numCache>
                <c:formatCode>#,##0</c:formatCode>
                <c:ptCount val="25"/>
                <c:pt idx="0">
                  <c:v>644</c:v>
                </c:pt>
                <c:pt idx="1">
                  <c:v>701</c:v>
                </c:pt>
                <c:pt idx="2">
                  <c:v>781</c:v>
                </c:pt>
                <c:pt idx="3">
                  <c:v>985</c:v>
                </c:pt>
                <c:pt idx="4">
                  <c:v>943</c:v>
                </c:pt>
                <c:pt idx="5">
                  <c:v>820</c:v>
                </c:pt>
                <c:pt idx="6">
                  <c:v>802</c:v>
                </c:pt>
                <c:pt idx="7">
                  <c:v>958</c:v>
                </c:pt>
                <c:pt idx="8">
                  <c:v>988</c:v>
                </c:pt>
                <c:pt idx="9">
                  <c:v>1139</c:v>
                </c:pt>
                <c:pt idx="10">
                  <c:v>1295</c:v>
                </c:pt>
                <c:pt idx="11">
                  <c:v>1056</c:v>
                </c:pt>
                <c:pt idx="12">
                  <c:v>937</c:v>
                </c:pt>
                <c:pt idx="13">
                  <c:v>1069</c:v>
                </c:pt>
                <c:pt idx="14">
                  <c:v>1088</c:v>
                </c:pt>
                <c:pt idx="15">
                  <c:v>1024</c:v>
                </c:pt>
                <c:pt idx="16">
                  <c:v>1044</c:v>
                </c:pt>
                <c:pt idx="17">
                  <c:v>1181</c:v>
                </c:pt>
                <c:pt idx="18">
                  <c:v>959</c:v>
                </c:pt>
                <c:pt idx="19">
                  <c:v>947</c:v>
                </c:pt>
                <c:pt idx="20">
                  <c:v>1080</c:v>
                </c:pt>
                <c:pt idx="21">
                  <c:v>1093</c:v>
                </c:pt>
                <c:pt idx="22">
                  <c:v>1020</c:v>
                </c:pt>
                <c:pt idx="23">
                  <c:v>988</c:v>
                </c:pt>
                <c:pt idx="24">
                  <c:v>1010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FBA-447F-8C4B-A55EAE7968BD}"/>
            </c:ext>
          </c:extLst>
        </c:ser>
        <c:ser>
          <c:idx val="17"/>
          <c:order val="10"/>
          <c:tx>
            <c:strRef>
              <c:f>'Historical trend ass. Lit_visua'!$K$134</c:f>
              <c:strCache>
                <c:ptCount val="1"/>
                <c:pt idx="0">
                  <c:v>Nuclear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cat>
            <c:numRef>
              <c:f>'Historical trend ass. Lit_visua'!$A$135:$A$159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Lit_visua'!$K$135:$K$159</c:f>
              <c:numCache>
                <c:formatCode>#,##0</c:formatCode>
                <c:ptCount val="25"/>
                <c:pt idx="0">
                  <c:v>8419</c:v>
                </c:pt>
                <c:pt idx="1">
                  <c:v>11362</c:v>
                </c:pt>
                <c:pt idx="2">
                  <c:v>14142</c:v>
                </c:pt>
                <c:pt idx="3">
                  <c:v>15484</c:v>
                </c:pt>
                <c:pt idx="4">
                  <c:v>15102</c:v>
                </c:pt>
                <c:pt idx="5">
                  <c:v>10337</c:v>
                </c:pt>
                <c:pt idx="6">
                  <c:v>8651</c:v>
                </c:pt>
                <c:pt idx="7">
                  <c:v>9833</c:v>
                </c:pt>
                <c:pt idx="8">
                  <c:v>9894</c:v>
                </c:pt>
                <c:pt idx="9">
                  <c:v>10852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FBA-447F-8C4B-A55EAE7968BD}"/>
            </c:ext>
          </c:extLst>
        </c:ser>
        <c:ser>
          <c:idx val="18"/>
          <c:order val="11"/>
          <c:tx>
            <c:strRef>
              <c:f>'Historical trend ass. Lit_visua'!$L$134</c:f>
              <c:strCache>
                <c:ptCount val="1"/>
                <c:pt idx="0">
                  <c:v>Solar energy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cat>
            <c:numRef>
              <c:f>'Historical trend ass. Lit_visua'!$A$135:$A$159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Lit_visua'!$L$135:$L$159</c:f>
              <c:numCache>
                <c:formatCode>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</c:v>
                </c:pt>
                <c:pt idx="13">
                  <c:v>45</c:v>
                </c:pt>
                <c:pt idx="14">
                  <c:v>73</c:v>
                </c:pt>
                <c:pt idx="15">
                  <c:v>73</c:v>
                </c:pt>
                <c:pt idx="16">
                  <c:v>66</c:v>
                </c:pt>
                <c:pt idx="17">
                  <c:v>68</c:v>
                </c:pt>
                <c:pt idx="18">
                  <c:v>86</c:v>
                </c:pt>
                <c:pt idx="19">
                  <c:v>91</c:v>
                </c:pt>
                <c:pt idx="20">
                  <c:v>128</c:v>
                </c:pt>
                <c:pt idx="21">
                  <c:v>190</c:v>
                </c:pt>
                <c:pt idx="22">
                  <c:v>342</c:v>
                </c:pt>
                <c:pt idx="23">
                  <c:v>688</c:v>
                </c:pt>
                <c:pt idx="24">
                  <c:v>1397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FBA-447F-8C4B-A55EAE7968BD}"/>
            </c:ext>
          </c:extLst>
        </c:ser>
        <c:ser>
          <c:idx val="2"/>
          <c:order val="12"/>
          <c:tx>
            <c:strRef>
              <c:f>'Historical trend ass. Lit_visua'!$M$134</c:f>
              <c:strCache>
                <c:ptCount val="1"/>
                <c:pt idx="0">
                  <c:v>Electricity import</c:v>
                </c:pt>
              </c:strCache>
            </c:strRef>
          </c:tx>
          <c:spPr>
            <a:solidFill>
              <a:schemeClr val="accent3"/>
            </a:solidFill>
            <a:ln w="25400">
              <a:noFill/>
            </a:ln>
            <a:effectLst/>
          </c:spPr>
          <c:val>
            <c:numRef>
              <c:f>'Historical trend ass. Lit_visua'!$M$135:$M$159</c:f>
              <c:numCache>
                <c:formatCode>#,##0</c:formatCode>
                <c:ptCount val="25"/>
                <c:pt idx="0">
                  <c:v>5150</c:v>
                </c:pt>
                <c:pt idx="1">
                  <c:v>4442</c:v>
                </c:pt>
                <c:pt idx="2">
                  <c:v>4532</c:v>
                </c:pt>
                <c:pt idx="3">
                  <c:v>4144</c:v>
                </c:pt>
                <c:pt idx="4">
                  <c:v>4293</c:v>
                </c:pt>
                <c:pt idx="5">
                  <c:v>5641</c:v>
                </c:pt>
                <c:pt idx="6">
                  <c:v>5812</c:v>
                </c:pt>
                <c:pt idx="7">
                  <c:v>5846</c:v>
                </c:pt>
                <c:pt idx="8">
                  <c:v>5649</c:v>
                </c:pt>
                <c:pt idx="9">
                  <c:v>4783</c:v>
                </c:pt>
                <c:pt idx="10">
                  <c:v>8174</c:v>
                </c:pt>
                <c:pt idx="11">
                  <c:v>8086</c:v>
                </c:pt>
                <c:pt idx="12">
                  <c:v>8060</c:v>
                </c:pt>
                <c:pt idx="13">
                  <c:v>8073</c:v>
                </c:pt>
                <c:pt idx="14">
                  <c:v>8521</c:v>
                </c:pt>
                <c:pt idx="15">
                  <c:v>7938</c:v>
                </c:pt>
                <c:pt idx="16">
                  <c:v>11106</c:v>
                </c:pt>
                <c:pt idx="17">
                  <c:v>11926</c:v>
                </c:pt>
                <c:pt idx="18">
                  <c:v>12847</c:v>
                </c:pt>
                <c:pt idx="19">
                  <c:v>13267</c:v>
                </c:pt>
                <c:pt idx="20">
                  <c:v>12013</c:v>
                </c:pt>
                <c:pt idx="21">
                  <c:v>12478</c:v>
                </c:pt>
                <c:pt idx="22">
                  <c:v>12933</c:v>
                </c:pt>
                <c:pt idx="23">
                  <c:v>10909</c:v>
                </c:pt>
                <c:pt idx="24">
                  <c:v>9702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FBA-447F-8C4B-A55EAE7968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0368336"/>
        <c:axId val="370370736"/>
        <c:extLst>
          <c:ext xmlns:c15="http://schemas.microsoft.com/office/drawing/2012/chart" uri="{02D57815-91ED-43cb-92C2-25804820EDAC}">
            <c15:filteredArea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'Historical trend ass. Lit_visua'!$A$134</c15:sqref>
                        </c15:formulaRef>
                      </c:ext>
                    </c:extLst>
                    <c:strCache>
                      <c:ptCount val="1"/>
                      <c:pt idx="0">
                        <c:v>Total production GWh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cat>
                  <c:numRef>
                    <c:extLst>
                      <c:ext uri="{02D57815-91ED-43cb-92C2-25804820EDAC}">
                        <c15:formulaRef>
                          <c15:sqref>'Historical trend ass. Lit_visua'!$A$135:$A$159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2020</c:v>
                      </c:pt>
                      <c:pt idx="21">
                        <c:v>2021</c:v>
                      </c:pt>
                      <c:pt idx="22">
                        <c:v>2022</c:v>
                      </c:pt>
                      <c:pt idx="23">
                        <c:v>2023</c:v>
                      </c:pt>
                      <c:pt idx="24">
                        <c:v>2024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'Historical trend ass. Lit_visua'!$A$135:$A$159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2020</c:v>
                      </c:pt>
                      <c:pt idx="21">
                        <c:v>2021</c:v>
                      </c:pt>
                      <c:pt idx="22">
                        <c:v>2022</c:v>
                      </c:pt>
                      <c:pt idx="23">
                        <c:v>2023</c:v>
                      </c:pt>
                      <c:pt idx="24">
                        <c:v>2024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B-5FBA-447F-8C4B-A55EAE7968BD}"/>
                  </c:ext>
                </c:extLst>
              </c15:ser>
            </c15:filteredAreaSeries>
            <c15:filteredArea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'Historical trend ass. Lit_visua'!$B$134</c15:sqref>
                        </c15:formulaRef>
                      </c:ext>
                    </c:extLst>
                    <c:strCache>
                      <c:ptCount val="1"/>
                      <c:pt idx="0">
                        <c:v>Total 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'Historical trend ass. Lit_visua'!$B$135:$B$159</c15:sqref>
                        </c15:formulaRef>
                      </c:ext>
                    </c:extLst>
                    <c:numCache>
                      <c:formatCode>0</c:formatCode>
                      <c:ptCount val="25"/>
                      <c:pt idx="0">
                        <c:v>11425</c:v>
                      </c:pt>
                      <c:pt idx="1">
                        <c:v>14737</c:v>
                      </c:pt>
                      <c:pt idx="2">
                        <c:v>17720.900000000001</c:v>
                      </c:pt>
                      <c:pt idx="3">
                        <c:v>19487.599999999999</c:v>
                      </c:pt>
                      <c:pt idx="4">
                        <c:v>19272.5</c:v>
                      </c:pt>
                      <c:pt idx="5">
                        <c:v>14779.400000000001</c:v>
                      </c:pt>
                      <c:pt idx="6">
                        <c:v>12477</c:v>
                      </c:pt>
                      <c:pt idx="7">
                        <c:v>14001.5</c:v>
                      </c:pt>
                      <c:pt idx="8">
                        <c:v>13903.7</c:v>
                      </c:pt>
                      <c:pt idx="9">
                        <c:v>15343</c:v>
                      </c:pt>
                      <c:pt idx="10">
                        <c:v>5718</c:v>
                      </c:pt>
                      <c:pt idx="11">
                        <c:v>4786.3999999999996</c:v>
                      </c:pt>
                      <c:pt idx="12">
                        <c:v>5000.6000000000004</c:v>
                      </c:pt>
                      <c:pt idx="13">
                        <c:v>4702.3999999999996</c:v>
                      </c:pt>
                      <c:pt idx="14">
                        <c:v>4318.7</c:v>
                      </c:pt>
                      <c:pt idx="15">
                        <c:v>4847.5</c:v>
                      </c:pt>
                      <c:pt idx="16">
                        <c:v>4136.1000000000004</c:v>
                      </c:pt>
                      <c:pt idx="17">
                        <c:v>4046.3</c:v>
                      </c:pt>
                      <c:pt idx="18">
                        <c:v>3335.4</c:v>
                      </c:pt>
                      <c:pt idx="19">
                        <c:v>3778.9</c:v>
                      </c:pt>
                      <c:pt idx="20">
                        <c:v>5308.9</c:v>
                      </c:pt>
                      <c:pt idx="21">
                        <c:v>4853.5</c:v>
                      </c:pt>
                      <c:pt idx="22">
                        <c:v>4543.7000000000007</c:v>
                      </c:pt>
                      <c:pt idx="23">
                        <c:v>5776.9</c:v>
                      </c:pt>
                      <c:pt idx="24">
                        <c:v>7996.8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5FBA-447F-8C4B-A55EAE7968BD}"/>
                  </c:ext>
                </c:extLst>
              </c15:ser>
            </c15:filteredAreaSeries>
          </c:ext>
        </c:extLst>
      </c:areaChart>
      <c:catAx>
        <c:axId val="370368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0370736"/>
        <c:crosses val="autoZero"/>
        <c:auto val="1"/>
        <c:lblAlgn val="ctr"/>
        <c:lblOffset val="100"/>
        <c:noMultiLvlLbl val="0"/>
      </c:catAx>
      <c:valAx>
        <c:axId val="370370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036833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1731730002940764E-2"/>
          <c:y val="0.76316361238784591"/>
          <c:w val="0.88605965597511849"/>
          <c:h val="0.1184944266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'Historical trend ass. Lit_visua'!$E$162</c:f>
              <c:strCache>
                <c:ptCount val="1"/>
                <c:pt idx="0">
                  <c:v>Share of fossil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'Historical trend ass. Lit_visua'!$A$163:$A$187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Lit_visua'!$E$163:$E$187</c:f>
              <c:numCache>
                <c:formatCode>0%</c:formatCode>
                <c:ptCount val="25"/>
                <c:pt idx="0">
                  <c:v>0.20673960612691467</c:v>
                </c:pt>
                <c:pt idx="1">
                  <c:v>0.18131234308203842</c:v>
                </c:pt>
                <c:pt idx="2">
                  <c:v>0.1576669356522524</c:v>
                </c:pt>
                <c:pt idx="3">
                  <c:v>0.15455982265645848</c:v>
                </c:pt>
                <c:pt idx="4">
                  <c:v>0.1671812167596316</c:v>
                </c:pt>
                <c:pt idx="5">
                  <c:v>0.24480019486582677</c:v>
                </c:pt>
                <c:pt idx="6">
                  <c:v>0.23972108679971146</c:v>
                </c:pt>
                <c:pt idx="7">
                  <c:v>0.21826232903617471</c:v>
                </c:pt>
                <c:pt idx="8">
                  <c:v>0.20361486510784899</c:v>
                </c:pt>
                <c:pt idx="9">
                  <c:v>0.20250276999283059</c:v>
                </c:pt>
                <c:pt idx="10">
                  <c:v>0.71406086044071349</c:v>
                </c:pt>
                <c:pt idx="11">
                  <c:v>0.65477185358515799</c:v>
                </c:pt>
                <c:pt idx="12">
                  <c:v>0.66911970563532375</c:v>
                </c:pt>
                <c:pt idx="13">
                  <c:v>0.57020685006529892</c:v>
                </c:pt>
                <c:pt idx="14">
                  <c:v>0.50698066367549599</c:v>
                </c:pt>
                <c:pt idx="15">
                  <c:v>0.52964347035652959</c:v>
                </c:pt>
                <c:pt idx="16">
                  <c:v>0.37974388281122434</c:v>
                </c:pt>
                <c:pt idx="17">
                  <c:v>0.27175594317397617</c:v>
                </c:pt>
                <c:pt idx="18">
                  <c:v>0.23764203726134855</c:v>
                </c:pt>
                <c:pt idx="19">
                  <c:v>0.24182622255170122</c:v>
                </c:pt>
                <c:pt idx="20">
                  <c:v>0.40490308074489112</c:v>
                </c:pt>
                <c:pt idx="21">
                  <c:v>0.36063067367415191</c:v>
                </c:pt>
                <c:pt idx="22">
                  <c:v>0.27382854369324733</c:v>
                </c:pt>
                <c:pt idx="23">
                  <c:v>0.19913042072766654</c:v>
                </c:pt>
                <c:pt idx="24">
                  <c:v>0.19104115647067216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B0-4D03-BA7C-5267302D884F}"/>
            </c:ext>
          </c:extLst>
        </c:ser>
        <c:ser>
          <c:idx val="1"/>
          <c:order val="1"/>
          <c:tx>
            <c:strRef>
              <c:f>'Historical trend ass. Lit_visua'!$F$162</c:f>
              <c:strCache>
                <c:ptCount val="1"/>
                <c:pt idx="0">
                  <c:v>Share of renewable/low carbon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'Historical trend ass. Lit_visua'!$A$163:$A$187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Lit_visua'!$F$163:$F$187</c:f>
              <c:numCache>
                <c:formatCode>0%</c:formatCode>
                <c:ptCount val="25"/>
                <c:pt idx="0">
                  <c:v>0.79326039387308533</c:v>
                </c:pt>
                <c:pt idx="1">
                  <c:v>0.81868765691796164</c:v>
                </c:pt>
                <c:pt idx="2">
                  <c:v>0.84233306434774746</c:v>
                </c:pt>
                <c:pt idx="3">
                  <c:v>0.84544017734354149</c:v>
                </c:pt>
                <c:pt idx="4">
                  <c:v>0.8328187832403684</c:v>
                </c:pt>
                <c:pt idx="5">
                  <c:v>0.75519980513417329</c:v>
                </c:pt>
                <c:pt idx="6">
                  <c:v>0.76027891320028851</c:v>
                </c:pt>
                <c:pt idx="7">
                  <c:v>0.78173767096382529</c:v>
                </c:pt>
                <c:pt idx="8">
                  <c:v>0.79638513489215101</c:v>
                </c:pt>
                <c:pt idx="9">
                  <c:v>0.79749723000716943</c:v>
                </c:pt>
                <c:pt idx="10">
                  <c:v>0.28593913955928646</c:v>
                </c:pt>
                <c:pt idx="11">
                  <c:v>0.34522814641484212</c:v>
                </c:pt>
                <c:pt idx="12">
                  <c:v>0.3308802943646762</c:v>
                </c:pt>
                <c:pt idx="13">
                  <c:v>0.42979314993470114</c:v>
                </c:pt>
                <c:pt idx="14">
                  <c:v>0.49301933632450406</c:v>
                </c:pt>
                <c:pt idx="15">
                  <c:v>0.47035652964347036</c:v>
                </c:pt>
                <c:pt idx="16">
                  <c:v>0.62025611718877571</c:v>
                </c:pt>
                <c:pt idx="17">
                  <c:v>0.72824405682602389</c:v>
                </c:pt>
                <c:pt idx="18">
                  <c:v>0.76235796273865142</c:v>
                </c:pt>
                <c:pt idx="19">
                  <c:v>0.75817377744829884</c:v>
                </c:pt>
                <c:pt idx="20">
                  <c:v>0.59509691925510899</c:v>
                </c:pt>
                <c:pt idx="21">
                  <c:v>0.63936932632584809</c:v>
                </c:pt>
                <c:pt idx="22">
                  <c:v>0.72617145630675273</c:v>
                </c:pt>
                <c:pt idx="23">
                  <c:v>0.80086957927233349</c:v>
                </c:pt>
                <c:pt idx="24">
                  <c:v>0.8089588435293279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4B0-4D03-BA7C-5267302D88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733280"/>
        <c:axId val="328734720"/>
      </c:lineChart>
      <c:catAx>
        <c:axId val="328733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8734720"/>
        <c:crosses val="autoZero"/>
        <c:auto val="1"/>
        <c:lblAlgn val="ctr"/>
        <c:lblOffset val="100"/>
        <c:noMultiLvlLbl val="0"/>
      </c:catAx>
      <c:valAx>
        <c:axId val="32873472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8733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'Historical trend ass. Lit_visua'!$A$221</c:f>
              <c:strCache>
                <c:ptCount val="1"/>
                <c:pt idx="0">
                  <c:v>Total consumption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'Historical trend ass. Lit_visua'!$B$220:$Z$220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Lit_visua'!$B$221:$Z$221</c:f>
              <c:numCache>
                <c:formatCode>#,##0</c:formatCode>
                <c:ptCount val="25"/>
                <c:pt idx="0">
                  <c:v>8619</c:v>
                </c:pt>
                <c:pt idx="1">
                  <c:v>8565</c:v>
                </c:pt>
                <c:pt idx="2">
                  <c:v>9494</c:v>
                </c:pt>
                <c:pt idx="3">
                  <c:v>9999</c:v>
                </c:pt>
                <c:pt idx="4">
                  <c:v>10276</c:v>
                </c:pt>
                <c:pt idx="5">
                  <c:v>11689</c:v>
                </c:pt>
                <c:pt idx="6">
                  <c:v>12044</c:v>
                </c:pt>
                <c:pt idx="7">
                  <c:v>12336</c:v>
                </c:pt>
                <c:pt idx="8">
                  <c:v>11058</c:v>
                </c:pt>
                <c:pt idx="9">
                  <c:v>9711</c:v>
                </c:pt>
                <c:pt idx="10">
                  <c:v>10572</c:v>
                </c:pt>
                <c:pt idx="11">
                  <c:v>11323</c:v>
                </c:pt>
                <c:pt idx="12">
                  <c:v>11987</c:v>
                </c:pt>
                <c:pt idx="13">
                  <c:v>11595</c:v>
                </c:pt>
                <c:pt idx="14">
                  <c:v>11614</c:v>
                </c:pt>
                <c:pt idx="15" formatCode="0">
                  <c:v>11429.444</c:v>
                </c:pt>
                <c:pt idx="16" formatCode="0">
                  <c:v>11501.71</c:v>
                </c:pt>
                <c:pt idx="17" formatCode="0">
                  <c:v>12454.879000000001</c:v>
                </c:pt>
                <c:pt idx="18" formatCode="0">
                  <c:v>12869.612999999999</c:v>
                </c:pt>
                <c:pt idx="19" formatCode="0">
                  <c:v>12953.06</c:v>
                </c:pt>
                <c:pt idx="20" formatCode="0">
                  <c:v>11913.073</c:v>
                </c:pt>
                <c:pt idx="21" formatCode="0">
                  <c:v>12899.578</c:v>
                </c:pt>
                <c:pt idx="22" formatCode="0">
                  <c:v>11093.535</c:v>
                </c:pt>
                <c:pt idx="23" formatCode="0">
                  <c:v>10451.529</c:v>
                </c:pt>
                <c:pt idx="24" formatCode="0">
                  <c:v>11394.948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FD-4754-81FB-D217B2657F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06232736"/>
        <c:axId val="2106231296"/>
      </c:barChart>
      <c:lineChart>
        <c:grouping val="standard"/>
        <c:varyColors val="0"/>
        <c:ser>
          <c:idx val="1"/>
          <c:order val="1"/>
          <c:tx>
            <c:strRef>
              <c:f>'Historical trend ass. Lit_visua'!$A$222</c:f>
              <c:strCache>
                <c:ptCount val="1"/>
                <c:pt idx="0">
                  <c:v>Electricity share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'Historical trend ass. Lit_visua'!$B$220:$Y$220</c:f>
              <c:numCache>
                <c:formatCode>General</c:formatCod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numCache>
            </c:numRef>
          </c:cat>
          <c:val>
            <c:numRef>
              <c:f>'Historical trend ass. Lit_visua'!$B$222:$Z$222</c:f>
              <c:numCache>
                <c:formatCode>0%</c:formatCode>
                <c:ptCount val="25"/>
                <c:pt idx="0">
                  <c:v>0.25</c:v>
                </c:pt>
                <c:pt idx="1">
                  <c:v>0.26</c:v>
                </c:pt>
                <c:pt idx="2">
                  <c:v>0.26</c:v>
                </c:pt>
                <c:pt idx="3">
                  <c:v>0.25</c:v>
                </c:pt>
                <c:pt idx="4">
                  <c:v>0.26</c:v>
                </c:pt>
                <c:pt idx="5">
                  <c:v>0.23</c:v>
                </c:pt>
                <c:pt idx="6">
                  <c:v>0.23</c:v>
                </c:pt>
                <c:pt idx="7">
                  <c:v>0.24</c:v>
                </c:pt>
                <c:pt idx="8">
                  <c:v>0.24</c:v>
                </c:pt>
                <c:pt idx="9">
                  <c:v>0.24</c:v>
                </c:pt>
                <c:pt idx="10">
                  <c:v>0.24</c:v>
                </c:pt>
                <c:pt idx="11">
                  <c:v>0.24</c:v>
                </c:pt>
                <c:pt idx="12">
                  <c:v>0.23</c:v>
                </c:pt>
                <c:pt idx="13">
                  <c:v>0.25</c:v>
                </c:pt>
                <c:pt idx="14">
                  <c:v>0.26</c:v>
                </c:pt>
                <c:pt idx="15">
                  <c:v>0.28999999999999998</c:v>
                </c:pt>
                <c:pt idx="16">
                  <c:v>0.3</c:v>
                </c:pt>
                <c:pt idx="17">
                  <c:v>0.28999999999999998</c:v>
                </c:pt>
                <c:pt idx="18">
                  <c:v>0.28999999999999998</c:v>
                </c:pt>
                <c:pt idx="19">
                  <c:v>0.28999999999999998</c:v>
                </c:pt>
                <c:pt idx="20">
                  <c:v>0.31</c:v>
                </c:pt>
                <c:pt idx="21">
                  <c:v>0.3</c:v>
                </c:pt>
                <c:pt idx="22">
                  <c:v>0.32</c:v>
                </c:pt>
                <c:pt idx="23">
                  <c:v>0.32</c:v>
                </c:pt>
                <c:pt idx="24">
                  <c:v>0.31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FD-4754-81FB-D217B2657F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6229856"/>
        <c:axId val="2106228416"/>
      </c:lineChart>
      <c:catAx>
        <c:axId val="2106232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06231296"/>
        <c:crosses val="autoZero"/>
        <c:auto val="1"/>
        <c:lblAlgn val="ctr"/>
        <c:lblOffset val="100"/>
        <c:noMultiLvlLbl val="0"/>
      </c:catAx>
      <c:valAx>
        <c:axId val="2106231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06232736"/>
        <c:crosses val="autoZero"/>
        <c:crossBetween val="between"/>
      </c:valAx>
      <c:valAx>
        <c:axId val="2106228416"/>
        <c:scaling>
          <c:orientation val="minMax"/>
        </c:scaling>
        <c:delete val="0"/>
        <c:axPos val="r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06229856"/>
        <c:crosses val="max"/>
        <c:crossBetween val="between"/>
      </c:valAx>
      <c:catAx>
        <c:axId val="210622985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1062284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'Historical trend ass. Lit_visua'!$A$226</c:f>
              <c:strCache>
                <c:ptCount val="1"/>
                <c:pt idx="0">
                  <c:v>Total consumption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'Historical trend ass. Lit_visua'!$B$225:$Z$225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Lit_visua'!$B$226:$Z$226</c:f>
              <c:numCache>
                <c:formatCode>#,##0</c:formatCode>
                <c:ptCount val="25"/>
                <c:pt idx="0">
                  <c:v>12284</c:v>
                </c:pt>
                <c:pt idx="1">
                  <c:v>13463</c:v>
                </c:pt>
                <c:pt idx="2">
                  <c:v>13897</c:v>
                </c:pt>
                <c:pt idx="3">
                  <c:v>14191</c:v>
                </c:pt>
                <c:pt idx="4">
                  <c:v>15583</c:v>
                </c:pt>
                <c:pt idx="5">
                  <c:v>16723</c:v>
                </c:pt>
                <c:pt idx="6">
                  <c:v>18029</c:v>
                </c:pt>
                <c:pt idx="7">
                  <c:v>21435</c:v>
                </c:pt>
                <c:pt idx="8">
                  <c:v>21491</c:v>
                </c:pt>
                <c:pt idx="9">
                  <c:v>17515</c:v>
                </c:pt>
                <c:pt idx="10">
                  <c:v>18040</c:v>
                </c:pt>
                <c:pt idx="11">
                  <c:v>17958</c:v>
                </c:pt>
                <c:pt idx="12">
                  <c:v>18311</c:v>
                </c:pt>
                <c:pt idx="13">
                  <c:v>18361</c:v>
                </c:pt>
                <c:pt idx="14">
                  <c:v>20356</c:v>
                </c:pt>
                <c:pt idx="15" formatCode="0">
                  <c:v>20354.661</c:v>
                </c:pt>
                <c:pt idx="16" formatCode="0">
                  <c:v>21684.280999999999</c:v>
                </c:pt>
                <c:pt idx="17" formatCode="0">
                  <c:v>22795.089</c:v>
                </c:pt>
                <c:pt idx="18" formatCode="0">
                  <c:v>24207.78</c:v>
                </c:pt>
                <c:pt idx="19" formatCode="0">
                  <c:v>25012.304</c:v>
                </c:pt>
                <c:pt idx="20" formatCode="0">
                  <c:v>24730.687000000002</c:v>
                </c:pt>
                <c:pt idx="21" formatCode="0">
                  <c:v>24946.022000000001</c:v>
                </c:pt>
                <c:pt idx="22" formatCode="0">
                  <c:v>24464.806</c:v>
                </c:pt>
                <c:pt idx="23" formatCode="0">
                  <c:v>24935.887999999999</c:v>
                </c:pt>
                <c:pt idx="24" formatCode="0">
                  <c:v>24244.816999999999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8F-451D-AAC8-E7BB663DA7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90377792"/>
        <c:axId val="890376352"/>
      </c:barChart>
      <c:lineChart>
        <c:grouping val="standard"/>
        <c:varyColors val="0"/>
        <c:ser>
          <c:idx val="1"/>
          <c:order val="1"/>
          <c:tx>
            <c:strRef>
              <c:f>'Historical trend ass. Lit_visua'!$A$227</c:f>
              <c:strCache>
                <c:ptCount val="1"/>
                <c:pt idx="0">
                  <c:v>Electricity share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'Historical trend ass. Lit_visua'!$B$225:$Y$225</c:f>
              <c:numCache>
                <c:formatCode>General</c:formatCod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numCache>
            </c:numRef>
          </c:cat>
          <c:val>
            <c:numRef>
              <c:f>'Historical trend ass. Lit_visua'!$B$227:$Z$227</c:f>
              <c:numCache>
                <c:formatCode>0.0%</c:formatCode>
                <c:ptCount val="25"/>
                <c:pt idx="0">
                  <c:v>6.0000000000000001E-3</c:v>
                </c:pt>
                <c:pt idx="1">
                  <c:v>7.0000000000000001E-3</c:v>
                </c:pt>
                <c:pt idx="2">
                  <c:v>6.0000000000000001E-3</c:v>
                </c:pt>
                <c:pt idx="3">
                  <c:v>6.0000000000000001E-3</c:v>
                </c:pt>
                <c:pt idx="4">
                  <c:v>6.0000000000000001E-3</c:v>
                </c:pt>
                <c:pt idx="5">
                  <c:v>6.0000000000000001E-3</c:v>
                </c:pt>
                <c:pt idx="6">
                  <c:v>5.0000000000000001E-3</c:v>
                </c:pt>
                <c:pt idx="7">
                  <c:v>3.0000000000000001E-3</c:v>
                </c:pt>
                <c:pt idx="8">
                  <c:v>4.0000000000000001E-3</c:v>
                </c:pt>
                <c:pt idx="9">
                  <c:v>4.0000000000000001E-3</c:v>
                </c:pt>
                <c:pt idx="10">
                  <c:v>4.0000000000000001E-3</c:v>
                </c:pt>
                <c:pt idx="11">
                  <c:v>4.0000000000000001E-3</c:v>
                </c:pt>
                <c:pt idx="12">
                  <c:v>4.0000000000000001E-3</c:v>
                </c:pt>
                <c:pt idx="13">
                  <c:v>4.0000000000000001E-3</c:v>
                </c:pt>
                <c:pt idx="14">
                  <c:v>3.0000000000000001E-3</c:v>
                </c:pt>
                <c:pt idx="15">
                  <c:v>3.0000000000000001E-3</c:v>
                </c:pt>
                <c:pt idx="16">
                  <c:v>3.0000000000000001E-3</c:v>
                </c:pt>
                <c:pt idx="17">
                  <c:v>3.0000000000000001E-3</c:v>
                </c:pt>
                <c:pt idx="18">
                  <c:v>3.0000000000000001E-3</c:v>
                </c:pt>
                <c:pt idx="19">
                  <c:v>3.0000000000000001E-3</c:v>
                </c:pt>
                <c:pt idx="20">
                  <c:v>3.0000000000000001E-3</c:v>
                </c:pt>
                <c:pt idx="21">
                  <c:v>3.0000000000000001E-3</c:v>
                </c:pt>
                <c:pt idx="22">
                  <c:v>4.0000000000000001E-3</c:v>
                </c:pt>
                <c:pt idx="23">
                  <c:v>4.0000000000000001E-3</c:v>
                </c:pt>
                <c:pt idx="24">
                  <c:v>5.0000000000000001E-3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8F-451D-AAC8-E7BB663DA7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0381152"/>
        <c:axId val="890371072"/>
      </c:lineChart>
      <c:catAx>
        <c:axId val="890377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0376352"/>
        <c:crosses val="autoZero"/>
        <c:auto val="1"/>
        <c:lblAlgn val="ctr"/>
        <c:lblOffset val="100"/>
        <c:noMultiLvlLbl val="0"/>
      </c:catAx>
      <c:valAx>
        <c:axId val="890376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0377792"/>
        <c:crosses val="autoZero"/>
        <c:crossBetween val="between"/>
      </c:valAx>
      <c:valAx>
        <c:axId val="890371072"/>
        <c:scaling>
          <c:orientation val="minMax"/>
        </c:scaling>
        <c:delete val="0"/>
        <c:axPos val="r"/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0381152"/>
        <c:crosses val="max"/>
        <c:crossBetween val="between"/>
      </c:valAx>
      <c:catAx>
        <c:axId val="89038115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903710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'Historical trend ass. Lit_visua'!$A$231</c:f>
              <c:strCache>
                <c:ptCount val="1"/>
                <c:pt idx="0">
                  <c:v>Total consumption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'Historical trend ass. Lit_visua'!$B$230:$Z$230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Lit_visua'!$B$231:$Z$231</c:f>
              <c:numCache>
                <c:formatCode>#,##0</c:formatCode>
                <c:ptCount val="25"/>
                <c:pt idx="0">
                  <c:v>21284</c:v>
                </c:pt>
                <c:pt idx="1">
                  <c:v>21954</c:v>
                </c:pt>
                <c:pt idx="2">
                  <c:v>22423</c:v>
                </c:pt>
                <c:pt idx="3">
                  <c:v>23074</c:v>
                </c:pt>
                <c:pt idx="4">
                  <c:v>23524</c:v>
                </c:pt>
                <c:pt idx="5">
                  <c:v>24075</c:v>
                </c:pt>
                <c:pt idx="6">
                  <c:v>25309</c:v>
                </c:pt>
                <c:pt idx="7">
                  <c:v>24811</c:v>
                </c:pt>
                <c:pt idx="8">
                  <c:v>25068</c:v>
                </c:pt>
                <c:pt idx="9">
                  <c:v>25129</c:v>
                </c:pt>
                <c:pt idx="10">
                  <c:v>25530</c:v>
                </c:pt>
                <c:pt idx="11">
                  <c:v>24618</c:v>
                </c:pt>
                <c:pt idx="12">
                  <c:v>24968</c:v>
                </c:pt>
                <c:pt idx="13">
                  <c:v>23980</c:v>
                </c:pt>
                <c:pt idx="14">
                  <c:v>23118</c:v>
                </c:pt>
                <c:pt idx="15">
                  <c:v>22505</c:v>
                </c:pt>
                <c:pt idx="16">
                  <c:v>23668</c:v>
                </c:pt>
                <c:pt idx="17">
                  <c:v>24307</c:v>
                </c:pt>
                <c:pt idx="18">
                  <c:v>25162</c:v>
                </c:pt>
                <c:pt idx="19">
                  <c:v>24129</c:v>
                </c:pt>
                <c:pt idx="20">
                  <c:v>23374</c:v>
                </c:pt>
                <c:pt idx="21">
                  <c:v>26483</c:v>
                </c:pt>
                <c:pt idx="22">
                  <c:v>25259</c:v>
                </c:pt>
                <c:pt idx="23">
                  <c:v>24837</c:v>
                </c:pt>
                <c:pt idx="24">
                  <c:v>26278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BF-4950-8291-3A6BDDBFDB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2316016"/>
        <c:axId val="522313616"/>
      </c:barChart>
      <c:lineChart>
        <c:grouping val="standard"/>
        <c:varyColors val="0"/>
        <c:ser>
          <c:idx val="1"/>
          <c:order val="1"/>
          <c:tx>
            <c:strRef>
              <c:f>'Historical trend ass. Lit_visua'!$A$232</c:f>
              <c:strCache>
                <c:ptCount val="1"/>
                <c:pt idx="0">
                  <c:v>Electricity share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'Historical trend ass. Lit_visua'!$B$230:$Y$230</c:f>
              <c:numCache>
                <c:formatCode>General</c:formatCod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numCache>
            </c:numRef>
          </c:cat>
          <c:val>
            <c:numRef>
              <c:f>'Historical trend ass. Lit_visua'!$B$232:$Z$232</c:f>
              <c:numCache>
                <c:formatCode>0%</c:formatCode>
                <c:ptCount val="25"/>
                <c:pt idx="0">
                  <c:v>0.17</c:v>
                </c:pt>
                <c:pt idx="1">
                  <c:v>0.17</c:v>
                </c:pt>
                <c:pt idx="2">
                  <c:v>0.17</c:v>
                </c:pt>
                <c:pt idx="3">
                  <c:v>0.19</c:v>
                </c:pt>
                <c:pt idx="4">
                  <c:v>0.2</c:v>
                </c:pt>
                <c:pt idx="5">
                  <c:v>0.2</c:v>
                </c:pt>
                <c:pt idx="6">
                  <c:v>0.21</c:v>
                </c:pt>
                <c:pt idx="7">
                  <c:v>0.22</c:v>
                </c:pt>
                <c:pt idx="8">
                  <c:v>0.24</c:v>
                </c:pt>
                <c:pt idx="9">
                  <c:v>0.23</c:v>
                </c:pt>
                <c:pt idx="10">
                  <c:v>0.21</c:v>
                </c:pt>
                <c:pt idx="11">
                  <c:v>0.23</c:v>
                </c:pt>
                <c:pt idx="12">
                  <c:v>0.23</c:v>
                </c:pt>
                <c:pt idx="13">
                  <c:v>0.24</c:v>
                </c:pt>
                <c:pt idx="14">
                  <c:v>0.25</c:v>
                </c:pt>
                <c:pt idx="15">
                  <c:v>0.26</c:v>
                </c:pt>
                <c:pt idx="16">
                  <c:v>0.26</c:v>
                </c:pt>
                <c:pt idx="17">
                  <c:v>0.25</c:v>
                </c:pt>
                <c:pt idx="18">
                  <c:v>0.26</c:v>
                </c:pt>
                <c:pt idx="19">
                  <c:v>0.27</c:v>
                </c:pt>
                <c:pt idx="20">
                  <c:v>0.27</c:v>
                </c:pt>
                <c:pt idx="21">
                  <c:v>0.26</c:v>
                </c:pt>
                <c:pt idx="22">
                  <c:v>0.27</c:v>
                </c:pt>
                <c:pt idx="23">
                  <c:v>0.26</c:v>
                </c:pt>
                <c:pt idx="24">
                  <c:v>0.26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BF-4950-8291-3A6BDDBFDB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1988608"/>
        <c:axId val="522312176"/>
      </c:lineChart>
      <c:catAx>
        <c:axId val="522316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313616"/>
        <c:crosses val="autoZero"/>
        <c:auto val="1"/>
        <c:lblAlgn val="ctr"/>
        <c:lblOffset val="100"/>
        <c:noMultiLvlLbl val="0"/>
      </c:catAx>
      <c:valAx>
        <c:axId val="522313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316016"/>
        <c:crosses val="autoZero"/>
        <c:crossBetween val="between"/>
      </c:valAx>
      <c:valAx>
        <c:axId val="522312176"/>
        <c:scaling>
          <c:orientation val="minMax"/>
        </c:scaling>
        <c:delete val="0"/>
        <c:axPos val="r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1988608"/>
        <c:crosses val="max"/>
        <c:crossBetween val="between"/>
      </c:valAx>
      <c:catAx>
        <c:axId val="53198860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5223121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'Historical trend ass. Lit_visua'!$B$190</c:f>
              <c:strCache>
                <c:ptCount val="1"/>
                <c:pt idx="0">
                  <c:v>Electricity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'Historical trend ass. Lit_visua'!$A$191:$A$215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Lit_visua'!$B$191:$B$215</c:f>
              <c:numCache>
                <c:formatCode>0</c:formatCode>
                <c:ptCount val="25"/>
                <c:pt idx="0">
                  <c:v>6198</c:v>
                </c:pt>
                <c:pt idx="1">
                  <c:v>6448</c:v>
                </c:pt>
                <c:pt idx="2">
                  <c:v>6723</c:v>
                </c:pt>
                <c:pt idx="3">
                  <c:v>7180</c:v>
                </c:pt>
                <c:pt idx="4">
                  <c:v>7651</c:v>
                </c:pt>
                <c:pt idx="5">
                  <c:v>7978</c:v>
                </c:pt>
                <c:pt idx="6">
                  <c:v>8433</c:v>
                </c:pt>
                <c:pt idx="7">
                  <c:v>8860</c:v>
                </c:pt>
                <c:pt idx="8">
                  <c:v>9045</c:v>
                </c:pt>
                <c:pt idx="9">
                  <c:v>8372</c:v>
                </c:pt>
                <c:pt idx="10">
                  <c:v>8333</c:v>
                </c:pt>
                <c:pt idx="11">
                  <c:v>8581</c:v>
                </c:pt>
                <c:pt idx="12">
                  <c:v>8923</c:v>
                </c:pt>
                <c:pt idx="13">
                  <c:v>8959</c:v>
                </c:pt>
                <c:pt idx="14">
                  <c:v>9239</c:v>
                </c:pt>
                <c:pt idx="15">
                  <c:v>9344</c:v>
                </c:pt>
                <c:pt idx="16">
                  <c:v>9752</c:v>
                </c:pt>
                <c:pt idx="17">
                  <c:v>10061</c:v>
                </c:pt>
                <c:pt idx="18">
                  <c:v>10401</c:v>
                </c:pt>
                <c:pt idx="19">
                  <c:v>10543</c:v>
                </c:pt>
                <c:pt idx="20">
                  <c:v>10355</c:v>
                </c:pt>
                <c:pt idx="21">
                  <c:v>11157</c:v>
                </c:pt>
                <c:pt idx="22">
                  <c:v>10665</c:v>
                </c:pt>
                <c:pt idx="23">
                  <c:v>10220</c:v>
                </c:pt>
                <c:pt idx="24">
                  <c:v>10818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44-4E33-BC69-7A24A6BC6B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14665200"/>
        <c:axId val="814662320"/>
      </c:barChart>
      <c:lineChart>
        <c:grouping val="standard"/>
        <c:varyColors val="0"/>
        <c:ser>
          <c:idx val="1"/>
          <c:order val="1"/>
          <c:tx>
            <c:strRef>
              <c:f>'Historical trend ass. Lit_visua'!$C$190</c:f>
              <c:strCache>
                <c:ptCount val="1"/>
                <c:pt idx="0">
                  <c:v>Proportion of total final energy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'Historical trend ass. Lit_visua'!$A$191:$A$215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Lit_visua'!$C$191:$C$215</c:f>
              <c:numCache>
                <c:formatCode>0%</c:formatCode>
                <c:ptCount val="25"/>
                <c:pt idx="0">
                  <c:v>0.14000000000000001</c:v>
                </c:pt>
                <c:pt idx="1">
                  <c:v>0.14000000000000001</c:v>
                </c:pt>
                <c:pt idx="2">
                  <c:v>0.14000000000000001</c:v>
                </c:pt>
                <c:pt idx="3">
                  <c:v>0.15</c:v>
                </c:pt>
                <c:pt idx="4">
                  <c:v>0.15</c:v>
                </c:pt>
                <c:pt idx="5">
                  <c:v>0.15</c:v>
                </c:pt>
                <c:pt idx="6">
                  <c:v>0.15</c:v>
                </c:pt>
                <c:pt idx="7">
                  <c:v>0.15</c:v>
                </c:pt>
                <c:pt idx="8">
                  <c:v>0.15</c:v>
                </c:pt>
                <c:pt idx="9">
                  <c:v>0.16</c:v>
                </c:pt>
                <c:pt idx="10">
                  <c:v>0.15</c:v>
                </c:pt>
                <c:pt idx="11">
                  <c:v>0.15</c:v>
                </c:pt>
                <c:pt idx="12">
                  <c:v>0.16</c:v>
                </c:pt>
                <c:pt idx="13">
                  <c:v>0.16</c:v>
                </c:pt>
                <c:pt idx="14">
                  <c:v>0.16</c:v>
                </c:pt>
                <c:pt idx="15">
                  <c:v>0.17</c:v>
                </c:pt>
                <c:pt idx="16">
                  <c:v>0.16</c:v>
                </c:pt>
                <c:pt idx="17">
                  <c:v>0.16</c:v>
                </c:pt>
                <c:pt idx="18">
                  <c:v>0.16</c:v>
                </c:pt>
                <c:pt idx="19">
                  <c:v>0.16</c:v>
                </c:pt>
                <c:pt idx="20">
                  <c:v>0.17</c:v>
                </c:pt>
                <c:pt idx="21">
                  <c:v>0.17</c:v>
                </c:pt>
                <c:pt idx="22">
                  <c:v>0.17</c:v>
                </c:pt>
                <c:pt idx="23">
                  <c:v>0.16</c:v>
                </c:pt>
                <c:pt idx="24">
                  <c:v>0.16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44-4E33-BC69-7A24A6BC6B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4666160"/>
        <c:axId val="814654640"/>
      </c:lineChart>
      <c:catAx>
        <c:axId val="814665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4662320"/>
        <c:crosses val="autoZero"/>
        <c:auto val="1"/>
        <c:lblAlgn val="ctr"/>
        <c:lblOffset val="100"/>
        <c:noMultiLvlLbl val="0"/>
      </c:catAx>
      <c:valAx>
        <c:axId val="814662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4665200"/>
        <c:crosses val="autoZero"/>
        <c:crossBetween val="between"/>
      </c:valAx>
      <c:valAx>
        <c:axId val="814654640"/>
        <c:scaling>
          <c:orientation val="minMax"/>
        </c:scaling>
        <c:delete val="0"/>
        <c:axPos val="r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4666160"/>
        <c:crosses val="max"/>
        <c:crossBetween val="between"/>
      </c:valAx>
      <c:catAx>
        <c:axId val="81466616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146546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'Historical trend ass. Lit_visua'!$B$263</c:f>
              <c:strCache>
                <c:ptCount val="1"/>
                <c:pt idx="0">
                  <c:v>MWh/Per capita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'Historical trend ass. Lit_visua'!$A$264:$A$288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Lit_visua'!$B$264:$B$288</c:f>
              <c:numCache>
                <c:formatCode>0.0</c:formatCode>
                <c:ptCount val="25"/>
                <c:pt idx="0">
                  <c:v>2.5169999999999999</c:v>
                </c:pt>
                <c:pt idx="1">
                  <c:v>2.6960000000000002</c:v>
                </c:pt>
                <c:pt idx="2">
                  <c:v>2.8490000000000002</c:v>
                </c:pt>
                <c:pt idx="3">
                  <c:v>3.0880000000000001</c:v>
                </c:pt>
                <c:pt idx="4">
                  <c:v>3.1970000000000001</c:v>
                </c:pt>
                <c:pt idx="5">
                  <c:v>3.1869999999999998</c:v>
                </c:pt>
                <c:pt idx="6">
                  <c:v>3.3530000000000002</c:v>
                </c:pt>
                <c:pt idx="7">
                  <c:v>3.5649999999999999</c:v>
                </c:pt>
                <c:pt idx="8">
                  <c:v>3.734</c:v>
                </c:pt>
                <c:pt idx="9">
                  <c:v>3.6219999999999999</c:v>
                </c:pt>
                <c:pt idx="10">
                  <c:v>3.4710000000000001</c:v>
                </c:pt>
                <c:pt idx="11">
                  <c:v>3.53</c:v>
                </c:pt>
                <c:pt idx="12">
                  <c:v>3.6</c:v>
                </c:pt>
                <c:pt idx="13">
                  <c:v>3.7</c:v>
                </c:pt>
                <c:pt idx="14">
                  <c:v>3.8149999999999999</c:v>
                </c:pt>
                <c:pt idx="15">
                  <c:v>3.8980000000000001</c:v>
                </c:pt>
                <c:pt idx="16">
                  <c:v>4.0439999999999996</c:v>
                </c:pt>
                <c:pt idx="17">
                  <c:v>4.2030000000000003</c:v>
                </c:pt>
                <c:pt idx="18">
                  <c:v>4.3310000000000004</c:v>
                </c:pt>
                <c:pt idx="19">
                  <c:v>4.4219999999999997</c:v>
                </c:pt>
                <c:pt idx="20">
                  <c:v>4.4390000000000001</c:v>
                </c:pt>
                <c:pt idx="21">
                  <c:v>4.6989999999999998</c:v>
                </c:pt>
                <c:pt idx="22">
                  <c:v>4.4160000000000004</c:v>
                </c:pt>
                <c:pt idx="23">
                  <c:v>4.202</c:v>
                </c:pt>
                <c:pt idx="24">
                  <c:v>4.3869999999999996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63-439D-BC00-D9A4DE0A86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747071"/>
        <c:axId val="333742751"/>
      </c:lineChart>
      <c:catAx>
        <c:axId val="3337470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3742751"/>
        <c:crosses val="autoZero"/>
        <c:auto val="1"/>
        <c:lblAlgn val="ctr"/>
        <c:lblOffset val="100"/>
        <c:noMultiLvlLbl val="0"/>
      </c:catAx>
      <c:valAx>
        <c:axId val="3337427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MWh/Per capita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37470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'Historical trend ass. Lit_visua'!$B$235</c:f>
              <c:strCache>
                <c:ptCount val="1"/>
                <c:pt idx="0">
                  <c:v>Coal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'Historical trend ass. Lit_visua'!$A$236:$A$260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Lit_visua'!$B$236:$B$260</c:f>
              <c:numCache>
                <c:formatCode>0</c:formatCode>
                <c:ptCount val="25"/>
                <c:pt idx="0">
                  <c:v>931.5630000000001</c:v>
                </c:pt>
                <c:pt idx="1">
                  <c:v>809.44799999999998</c:v>
                </c:pt>
                <c:pt idx="2">
                  <c:v>1425.8380000000002</c:v>
                </c:pt>
                <c:pt idx="3">
                  <c:v>1861.9630000000002</c:v>
                </c:pt>
                <c:pt idx="4">
                  <c:v>1820.095</c:v>
                </c:pt>
                <c:pt idx="5">
                  <c:v>2029.4350000000002</c:v>
                </c:pt>
                <c:pt idx="6">
                  <c:v>2791.2000000000003</c:v>
                </c:pt>
                <c:pt idx="7">
                  <c:v>2687.6930000000002</c:v>
                </c:pt>
                <c:pt idx="8">
                  <c:v>2369.0309999999999</c:v>
                </c:pt>
                <c:pt idx="9">
                  <c:v>1872.43</c:v>
                </c:pt>
                <c:pt idx="10">
                  <c:v>2335.3040000000001</c:v>
                </c:pt>
                <c:pt idx="11">
                  <c:v>2707.4640000000004</c:v>
                </c:pt>
                <c:pt idx="12">
                  <c:v>2646.9879999999998</c:v>
                </c:pt>
                <c:pt idx="13">
                  <c:v>2971.4650000000001</c:v>
                </c:pt>
                <c:pt idx="14">
                  <c:v>2580.6970000000001</c:v>
                </c:pt>
                <c:pt idx="15">
                  <c:v>2078.2810000000004</c:v>
                </c:pt>
                <c:pt idx="16">
                  <c:v>2096.8890000000001</c:v>
                </c:pt>
                <c:pt idx="17">
                  <c:v>2181.788</c:v>
                </c:pt>
                <c:pt idx="18">
                  <c:v>2341.1190000000001</c:v>
                </c:pt>
                <c:pt idx="19">
                  <c:v>2231.797</c:v>
                </c:pt>
                <c:pt idx="20">
                  <c:v>1747.9890000000003</c:v>
                </c:pt>
                <c:pt idx="21">
                  <c:v>2089.9110000000001</c:v>
                </c:pt>
                <c:pt idx="22">
                  <c:v>2075.9550000000004</c:v>
                </c:pt>
                <c:pt idx="23">
                  <c:v>1335.124</c:v>
                </c:pt>
                <c:pt idx="24">
                  <c:v>1135.0880000000002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82-4FC8-A307-C1B691840E45}"/>
            </c:ext>
          </c:extLst>
        </c:ser>
        <c:ser>
          <c:idx val="1"/>
          <c:order val="1"/>
          <c:tx>
            <c:strRef>
              <c:f>'Historical trend ass. Lit_visua'!$C$235</c:f>
              <c:strCache>
                <c:ptCount val="1"/>
                <c:pt idx="0">
                  <c:v>Oil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'Historical trend ass. Lit_visua'!$A$236:$A$260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Lit_visua'!$C$236:$C$260</c:f>
              <c:numCache>
                <c:formatCode>0</c:formatCode>
                <c:ptCount val="25"/>
                <c:pt idx="0">
                  <c:v>31563.820000000003</c:v>
                </c:pt>
                <c:pt idx="1">
                  <c:v>32950.116000000002</c:v>
                </c:pt>
                <c:pt idx="2">
                  <c:v>32708.212000000003</c:v>
                </c:pt>
                <c:pt idx="3">
                  <c:v>32391.876</c:v>
                </c:pt>
                <c:pt idx="4">
                  <c:v>35199.054000000004</c:v>
                </c:pt>
                <c:pt idx="5">
                  <c:v>37546.01</c:v>
                </c:pt>
                <c:pt idx="6">
                  <c:v>39146.298000000003</c:v>
                </c:pt>
                <c:pt idx="7">
                  <c:v>44606.745999999999</c:v>
                </c:pt>
                <c:pt idx="8">
                  <c:v>44295.41</c:v>
                </c:pt>
                <c:pt idx="9">
                  <c:v>36283.318000000007</c:v>
                </c:pt>
                <c:pt idx="10">
                  <c:v>37522.054000000004</c:v>
                </c:pt>
                <c:pt idx="11">
                  <c:v>37581.182000000001</c:v>
                </c:pt>
                <c:pt idx="12">
                  <c:v>37946.364000000001</c:v>
                </c:pt>
                <c:pt idx="13">
                  <c:v>37771.914000000004</c:v>
                </c:pt>
                <c:pt idx="14">
                  <c:v>41786.589999999997</c:v>
                </c:pt>
                <c:pt idx="15">
                  <c:v>43454.332000000002</c:v>
                </c:pt>
                <c:pt idx="16">
                  <c:v>46743.296000000002</c:v>
                </c:pt>
                <c:pt idx="17">
                  <c:v>49106.512000000002</c:v>
                </c:pt>
                <c:pt idx="18">
                  <c:v>52286.154000000002</c:v>
                </c:pt>
                <c:pt idx="19">
                  <c:v>54244.645999999993</c:v>
                </c:pt>
                <c:pt idx="20">
                  <c:v>51248.758000000009</c:v>
                </c:pt>
                <c:pt idx="21">
                  <c:v>51267.366000000002</c:v>
                </c:pt>
                <c:pt idx="22">
                  <c:v>51953.536</c:v>
                </c:pt>
                <c:pt idx="23">
                  <c:v>53518.934000000008</c:v>
                </c:pt>
                <c:pt idx="24">
                  <c:v>55547.206000000006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82-4FC8-A307-C1B691840E45}"/>
            </c:ext>
          </c:extLst>
        </c:ser>
        <c:ser>
          <c:idx val="2"/>
          <c:order val="2"/>
          <c:tx>
            <c:strRef>
              <c:f>'Historical trend ass. Lit_visua'!$D$235</c:f>
              <c:strCache>
                <c:ptCount val="1"/>
                <c:pt idx="0">
                  <c:v>Gas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'Historical trend ass. Lit_visua'!$A$236:$A$260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Lit_visua'!$D$236:$D$260</c:f>
              <c:numCache>
                <c:formatCode>0</c:formatCode>
                <c:ptCount val="25"/>
                <c:pt idx="0">
                  <c:v>4222.8530000000001</c:v>
                </c:pt>
                <c:pt idx="1">
                  <c:v>4590.3609999999999</c:v>
                </c:pt>
                <c:pt idx="2">
                  <c:v>4978.8030000000008</c:v>
                </c:pt>
                <c:pt idx="3">
                  <c:v>5114.8740000000007</c:v>
                </c:pt>
                <c:pt idx="4">
                  <c:v>5687.0700000000006</c:v>
                </c:pt>
                <c:pt idx="5">
                  <c:v>6853.5590000000002</c:v>
                </c:pt>
                <c:pt idx="6">
                  <c:v>7138.4939999999997</c:v>
                </c:pt>
                <c:pt idx="7">
                  <c:v>7530.4250000000002</c:v>
                </c:pt>
                <c:pt idx="8">
                  <c:v>7242.0010000000011</c:v>
                </c:pt>
                <c:pt idx="9">
                  <c:v>6670.9680000000008</c:v>
                </c:pt>
                <c:pt idx="10">
                  <c:v>7202.4589999999998</c:v>
                </c:pt>
                <c:pt idx="11">
                  <c:v>7023.357</c:v>
                </c:pt>
                <c:pt idx="12">
                  <c:v>7188.5030000000006</c:v>
                </c:pt>
                <c:pt idx="13">
                  <c:v>6418.5969999999998</c:v>
                </c:pt>
                <c:pt idx="14">
                  <c:v>6077.8380000000006</c:v>
                </c:pt>
                <c:pt idx="15">
                  <c:v>6037.1330000000007</c:v>
                </c:pt>
                <c:pt idx="16">
                  <c:v>6412.7820000000002</c:v>
                </c:pt>
                <c:pt idx="17">
                  <c:v>6627.9369999999999</c:v>
                </c:pt>
                <c:pt idx="18">
                  <c:v>6945.4360000000006</c:v>
                </c:pt>
                <c:pt idx="19">
                  <c:v>6794.246000000001</c:v>
                </c:pt>
                <c:pt idx="20">
                  <c:v>6780.2900000000009</c:v>
                </c:pt>
                <c:pt idx="21">
                  <c:v>7537.4030000000012</c:v>
                </c:pt>
                <c:pt idx="22">
                  <c:v>6814.0169999999998</c:v>
                </c:pt>
                <c:pt idx="23">
                  <c:v>6659.3380000000006</c:v>
                </c:pt>
                <c:pt idx="24">
                  <c:v>6762.8450000000003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182-4FC8-A307-C1B691840E45}"/>
            </c:ext>
          </c:extLst>
        </c:ser>
        <c:ser>
          <c:idx val="3"/>
          <c:order val="3"/>
          <c:tx>
            <c:strRef>
              <c:f>'Historical trend ass. Lit_visua'!$E$235</c:f>
              <c:strCache>
                <c:ptCount val="1"/>
                <c:pt idx="0">
                  <c:v>Other renewables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'Historical trend ass. Lit_visua'!$A$236:$A$260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Lit_visua'!$E$236:$E$260</c:f>
              <c:numCache>
                <c:formatCode>0</c:formatCode>
                <c:ptCount val="25"/>
                <c:pt idx="0">
                  <c:v>7044.2910000000002</c:v>
                </c:pt>
                <c:pt idx="1">
                  <c:v>7368.7680000000009</c:v>
                </c:pt>
                <c:pt idx="2">
                  <c:v>7665.3329999999996</c:v>
                </c:pt>
                <c:pt idx="3">
                  <c:v>7909.5630000000001</c:v>
                </c:pt>
                <c:pt idx="4">
                  <c:v>7971.2020000000002</c:v>
                </c:pt>
                <c:pt idx="5">
                  <c:v>8118.9030000000002</c:v>
                </c:pt>
                <c:pt idx="6">
                  <c:v>8403.8379999999997</c:v>
                </c:pt>
                <c:pt idx="7">
                  <c:v>8546.8870000000006</c:v>
                </c:pt>
                <c:pt idx="8">
                  <c:v>8808.5620000000017</c:v>
                </c:pt>
                <c:pt idx="9">
                  <c:v>8649.2310000000016</c:v>
                </c:pt>
                <c:pt idx="10">
                  <c:v>8570.1470000000008</c:v>
                </c:pt>
                <c:pt idx="11">
                  <c:v>8443.380000000001</c:v>
                </c:pt>
                <c:pt idx="12">
                  <c:v>8774.8349999999991</c:v>
                </c:pt>
                <c:pt idx="13">
                  <c:v>8529.4420000000009</c:v>
                </c:pt>
                <c:pt idx="14">
                  <c:v>8200.3130000000001</c:v>
                </c:pt>
                <c:pt idx="15">
                  <c:v>8086.3389999999999</c:v>
                </c:pt>
                <c:pt idx="16">
                  <c:v>7987.4840000000004</c:v>
                </c:pt>
                <c:pt idx="17">
                  <c:v>8047.96</c:v>
                </c:pt>
                <c:pt idx="18">
                  <c:v>8363.34</c:v>
                </c:pt>
                <c:pt idx="19">
                  <c:v>8125.4800000000014</c:v>
                </c:pt>
                <c:pt idx="20">
                  <c:v>8662.4380000000001</c:v>
                </c:pt>
                <c:pt idx="21">
                  <c:v>9046.2720000000008</c:v>
                </c:pt>
                <c:pt idx="22">
                  <c:v>8644.8739999999998</c:v>
                </c:pt>
                <c:pt idx="23">
                  <c:v>8669.0010000000002</c:v>
                </c:pt>
                <c:pt idx="24">
                  <c:v>9910.3000000000011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182-4FC8-A307-C1B691840E45}"/>
            </c:ext>
          </c:extLst>
        </c:ser>
        <c:ser>
          <c:idx val="4"/>
          <c:order val="4"/>
          <c:tx>
            <c:strRef>
              <c:f>'Historical trend ass. Lit_visua'!$F$235</c:f>
              <c:strCache>
                <c:ptCount val="1"/>
                <c:pt idx="0">
                  <c:v>Heat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'Historical trend ass. Lit_visua'!$A$236:$A$260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Lit_visua'!$F$236:$F$260</c:f>
              <c:numCache>
                <c:formatCode>0</c:formatCode>
                <c:ptCount val="25"/>
                <c:pt idx="0">
                  <c:v>9624.9880000000012</c:v>
                </c:pt>
                <c:pt idx="1">
                  <c:v>9895.9670000000006</c:v>
                </c:pt>
                <c:pt idx="2">
                  <c:v>10350.700000000001</c:v>
                </c:pt>
                <c:pt idx="3">
                  <c:v>10728.675000000001</c:v>
                </c:pt>
                <c:pt idx="4">
                  <c:v>10415.828000000001</c:v>
                </c:pt>
                <c:pt idx="5">
                  <c:v>10529.802</c:v>
                </c:pt>
                <c:pt idx="6">
                  <c:v>10981.046000000002</c:v>
                </c:pt>
                <c:pt idx="7">
                  <c:v>10701.926000000001</c:v>
                </c:pt>
                <c:pt idx="8">
                  <c:v>10033.201000000001</c:v>
                </c:pt>
                <c:pt idx="9">
                  <c:v>10297.202000000001</c:v>
                </c:pt>
                <c:pt idx="10">
                  <c:v>10719.371000000001</c:v>
                </c:pt>
                <c:pt idx="11">
                  <c:v>10108.796000000002</c:v>
                </c:pt>
                <c:pt idx="12">
                  <c:v>10526.313</c:v>
                </c:pt>
                <c:pt idx="13">
                  <c:v>9859.9140000000007</c:v>
                </c:pt>
                <c:pt idx="14">
                  <c:v>9764.5480000000007</c:v>
                </c:pt>
                <c:pt idx="15">
                  <c:v>9285.3919999999998</c:v>
                </c:pt>
                <c:pt idx="16">
                  <c:v>9698.2569999999996</c:v>
                </c:pt>
                <c:pt idx="17">
                  <c:v>10708.904</c:v>
                </c:pt>
                <c:pt idx="18">
                  <c:v>10870.561000000002</c:v>
                </c:pt>
                <c:pt idx="19">
                  <c:v>10137.871000000001</c:v>
                </c:pt>
                <c:pt idx="20">
                  <c:v>8926.0250000000015</c:v>
                </c:pt>
                <c:pt idx="21">
                  <c:v>11125.258000000002</c:v>
                </c:pt>
                <c:pt idx="22">
                  <c:v>9541.2520000000004</c:v>
                </c:pt>
                <c:pt idx="23">
                  <c:v>9508.6880000000001</c:v>
                </c:pt>
                <c:pt idx="24">
                  <c:v>10406.524000000001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182-4FC8-A307-C1B691840E45}"/>
            </c:ext>
          </c:extLst>
        </c:ser>
        <c:ser>
          <c:idx val="5"/>
          <c:order val="5"/>
          <c:tx>
            <c:strRef>
              <c:f>'Historical trend ass. Lit_visua'!$G$235</c:f>
              <c:strCache>
                <c:ptCount val="1"/>
                <c:pt idx="0">
                  <c:v>Electricity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'Historical trend ass. Lit_visua'!$A$236:$A$260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Lit_visua'!$G$236:$G$260</c:f>
              <c:numCache>
                <c:formatCode>0</c:formatCode>
                <c:ptCount val="25"/>
                <c:pt idx="0">
                  <c:v>6197.6270000000004</c:v>
                </c:pt>
                <c:pt idx="1">
                  <c:v>6447.6720000000005</c:v>
                </c:pt>
                <c:pt idx="2">
                  <c:v>6723.3030000000008</c:v>
                </c:pt>
                <c:pt idx="3">
                  <c:v>7180.3620000000001</c:v>
                </c:pt>
                <c:pt idx="4">
                  <c:v>7651.3770000000004</c:v>
                </c:pt>
                <c:pt idx="5">
                  <c:v>7978.18</c:v>
                </c:pt>
                <c:pt idx="6">
                  <c:v>8432.9130000000005</c:v>
                </c:pt>
                <c:pt idx="7">
                  <c:v>8859.7340000000004</c:v>
                </c:pt>
                <c:pt idx="8">
                  <c:v>9044.6510000000017</c:v>
                </c:pt>
                <c:pt idx="9">
                  <c:v>8372.4369999999999</c:v>
                </c:pt>
                <c:pt idx="10">
                  <c:v>8332.8950000000004</c:v>
                </c:pt>
                <c:pt idx="11">
                  <c:v>8580.6139999999996</c:v>
                </c:pt>
                <c:pt idx="12">
                  <c:v>8922.5360000000019</c:v>
                </c:pt>
                <c:pt idx="13">
                  <c:v>8958.5889999999999</c:v>
                </c:pt>
                <c:pt idx="14">
                  <c:v>9238.8720000000012</c:v>
                </c:pt>
                <c:pt idx="15">
                  <c:v>9343.5419999999995</c:v>
                </c:pt>
                <c:pt idx="16">
                  <c:v>9751.755000000001</c:v>
                </c:pt>
                <c:pt idx="17">
                  <c:v>10061.113000000001</c:v>
                </c:pt>
                <c:pt idx="18">
                  <c:v>10400.709000000001</c:v>
                </c:pt>
                <c:pt idx="19">
                  <c:v>10542.595000000001</c:v>
                </c:pt>
                <c:pt idx="20">
                  <c:v>10355.352000000001</c:v>
                </c:pt>
                <c:pt idx="21">
                  <c:v>11156.659</c:v>
                </c:pt>
                <c:pt idx="22">
                  <c:v>10664.710000000001</c:v>
                </c:pt>
                <c:pt idx="23">
                  <c:v>10220.444</c:v>
                </c:pt>
                <c:pt idx="24">
                  <c:v>10818.226000000001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182-4FC8-A307-C1B691840E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09192431"/>
        <c:axId val="409187631"/>
      </c:barChart>
      <c:lineChart>
        <c:grouping val="standard"/>
        <c:varyColors val="0"/>
        <c:ser>
          <c:idx val="6"/>
          <c:order val="6"/>
          <c:tx>
            <c:strRef>
              <c:f>'Historical trend ass. Lit_visua'!$H$235</c:f>
              <c:strCache>
                <c:ptCount val="1"/>
                <c:pt idx="0">
                  <c:v>Proportion of electricity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'Historical trend ass. Lit_visua'!$H$236:$H$260</c:f>
              <c:numCache>
                <c:formatCode>0%</c:formatCode>
                <c:ptCount val="25"/>
                <c:pt idx="0">
                  <c:v>0.10401296014365462</c:v>
                </c:pt>
                <c:pt idx="1">
                  <c:v>0.10389026309871824</c:v>
                </c:pt>
                <c:pt idx="2">
                  <c:v>0.10529479263428229</c:v>
                </c:pt>
                <c:pt idx="3">
                  <c:v>0.11014968510820501</c:v>
                </c:pt>
                <c:pt idx="4">
                  <c:v>0.11130145649494115</c:v>
                </c:pt>
                <c:pt idx="5">
                  <c:v>0.10920652816913912</c:v>
                </c:pt>
                <c:pt idx="6">
                  <c:v>0.1096696249420093</c:v>
                </c:pt>
                <c:pt idx="7">
                  <c:v>0.10682948998685222</c:v>
                </c:pt>
                <c:pt idx="8">
                  <c:v>0.11057996312049551</c:v>
                </c:pt>
                <c:pt idx="9">
                  <c:v>0.11604919253133517</c:v>
                </c:pt>
                <c:pt idx="10">
                  <c:v>0.11157801527886888</c:v>
                </c:pt>
                <c:pt idx="11">
                  <c:v>0.11526143944009622</c:v>
                </c:pt>
                <c:pt idx="12">
                  <c:v>0.11739323366945666</c:v>
                </c:pt>
                <c:pt idx="13">
                  <c:v>0.12023350554887852</c:v>
                </c:pt>
                <c:pt idx="14">
                  <c:v>0.11898271575352724</c:v>
                </c:pt>
                <c:pt idx="15">
                  <c:v>0.11935287388765911</c:v>
                </c:pt>
                <c:pt idx="16">
                  <c:v>0.11793083079000297</c:v>
                </c:pt>
                <c:pt idx="17">
                  <c:v>0.1159993563785567</c:v>
                </c:pt>
                <c:pt idx="18">
                  <c:v>0.1140337103867728</c:v>
                </c:pt>
                <c:pt idx="19">
                  <c:v>0.11449804828336746</c:v>
                </c:pt>
                <c:pt idx="20">
                  <c:v>0.11804892182305754</c:v>
                </c:pt>
                <c:pt idx="21">
                  <c:v>0.12097497205384056</c:v>
                </c:pt>
                <c:pt idx="22">
                  <c:v>0.11890058530334979</c:v>
                </c:pt>
                <c:pt idx="23">
                  <c:v>0.11367222995395838</c:v>
                </c:pt>
                <c:pt idx="24">
                  <c:v>0.11438152232916345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182-4FC8-A307-C1B691840E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6035936"/>
        <c:axId val="1186043136"/>
      </c:lineChart>
      <c:catAx>
        <c:axId val="4091924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9187631"/>
        <c:crosses val="autoZero"/>
        <c:auto val="1"/>
        <c:lblAlgn val="ctr"/>
        <c:lblOffset val="100"/>
        <c:noMultiLvlLbl val="0"/>
      </c:catAx>
      <c:valAx>
        <c:axId val="409187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9192431"/>
        <c:crosses val="autoZero"/>
        <c:crossBetween val="between"/>
      </c:valAx>
      <c:valAx>
        <c:axId val="1186043136"/>
        <c:scaling>
          <c:orientation val="minMax"/>
          <c:max val="1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86035936"/>
        <c:crosses val="max"/>
        <c:crossBetween val="between"/>
      </c:valAx>
      <c:catAx>
        <c:axId val="1186035936"/>
        <c:scaling>
          <c:orientation val="minMax"/>
        </c:scaling>
        <c:delete val="1"/>
        <c:axPos val="b"/>
        <c:majorTickMark val="out"/>
        <c:minorTickMark val="none"/>
        <c:tickLblPos val="nextTo"/>
        <c:crossAx val="11860431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2"/>
          <c:order val="2"/>
          <c:tx>
            <c:strRef>
              <c:f>'Historical trend ass. Lit_visua'!$C$134</c:f>
              <c:strCache>
                <c:ptCount val="1"/>
                <c:pt idx="0">
                  <c:v>Coal</c:v>
                </c:pt>
              </c:strCache>
            </c:strRef>
          </c:tx>
          <c:spPr>
            <a:solidFill>
              <a:schemeClr val="accent3"/>
            </a:solidFill>
            <a:ln w="25400">
              <a:noFill/>
            </a:ln>
            <a:effectLst/>
          </c:spPr>
          <c:cat>
            <c:numRef>
              <c:f>'Historical trend ass. Lit_visua'!$A$135:$A$159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Lit_visua'!$C$135:$C$159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12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84-4FC6-838A-7735F6C9369A}"/>
            </c:ext>
          </c:extLst>
        </c:ser>
        <c:ser>
          <c:idx val="6"/>
          <c:order val="3"/>
          <c:tx>
            <c:strRef>
              <c:f>'Historical trend ass. Lit_visua'!$D$134</c:f>
              <c:strCache>
                <c:ptCount val="1"/>
                <c:pt idx="0">
                  <c:v>Biofuels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25400">
              <a:noFill/>
            </a:ln>
            <a:effectLst/>
          </c:spPr>
          <c:cat>
            <c:numRef>
              <c:f>'Historical trend ass. Lit_visua'!$A$135:$A$159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Lit_visua'!$D$135:$D$159</c:f>
              <c:numCache>
                <c:formatCode>0</c:formatCode>
                <c:ptCount val="25"/>
                <c:pt idx="0">
                  <c:v>0</c:v>
                </c:pt>
                <c:pt idx="1">
                  <c:v>2</c:v>
                </c:pt>
                <c:pt idx="2">
                  <c:v>3.9</c:v>
                </c:pt>
                <c:pt idx="3">
                  <c:v>6.6</c:v>
                </c:pt>
                <c:pt idx="4">
                  <c:v>4.3</c:v>
                </c:pt>
                <c:pt idx="5">
                  <c:v>2.6</c:v>
                </c:pt>
                <c:pt idx="6">
                  <c:v>19.3</c:v>
                </c:pt>
                <c:pt idx="7">
                  <c:v>48.4</c:v>
                </c:pt>
                <c:pt idx="8">
                  <c:v>59.6</c:v>
                </c:pt>
                <c:pt idx="9">
                  <c:v>87.3</c:v>
                </c:pt>
                <c:pt idx="10">
                  <c:v>116</c:v>
                </c:pt>
                <c:pt idx="11">
                  <c:v>121.4</c:v>
                </c:pt>
                <c:pt idx="12">
                  <c:v>175.5</c:v>
                </c:pt>
                <c:pt idx="13">
                  <c:v>278.7</c:v>
                </c:pt>
                <c:pt idx="14">
                  <c:v>292.60000000000002</c:v>
                </c:pt>
                <c:pt idx="15">
                  <c:v>318.2</c:v>
                </c:pt>
                <c:pt idx="16">
                  <c:v>262.2</c:v>
                </c:pt>
                <c:pt idx="17">
                  <c:v>292.3</c:v>
                </c:pt>
                <c:pt idx="18">
                  <c:v>322.39999999999998</c:v>
                </c:pt>
                <c:pt idx="19">
                  <c:v>295.5</c:v>
                </c:pt>
                <c:pt idx="20">
                  <c:v>316.89999999999998</c:v>
                </c:pt>
                <c:pt idx="21">
                  <c:v>322.5</c:v>
                </c:pt>
                <c:pt idx="22">
                  <c:v>315.3</c:v>
                </c:pt>
                <c:pt idx="23">
                  <c:v>332.8</c:v>
                </c:pt>
                <c:pt idx="24">
                  <c:v>534.79999999999995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84-4FC6-838A-7735F6C9369A}"/>
            </c:ext>
          </c:extLst>
        </c:ser>
        <c:ser>
          <c:idx val="7"/>
          <c:order val="4"/>
          <c:tx>
            <c:strRef>
              <c:f>'Historical trend ass. Lit_visua'!$E$134</c:f>
              <c:strCache>
                <c:ptCount val="1"/>
                <c:pt idx="0">
                  <c:v>Oil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cat>
            <c:numRef>
              <c:f>'Historical trend ass. Lit_visua'!$A$135:$A$159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Lit_visua'!$E$135:$E$159</c:f>
              <c:numCache>
                <c:formatCode>General</c:formatCode>
                <c:ptCount val="25"/>
                <c:pt idx="0">
                  <c:v>655</c:v>
                </c:pt>
                <c:pt idx="1">
                  <c:v>720</c:v>
                </c:pt>
                <c:pt idx="2">
                  <c:v>547</c:v>
                </c:pt>
                <c:pt idx="3">
                  <c:v>327</c:v>
                </c:pt>
                <c:pt idx="4">
                  <c:v>361</c:v>
                </c:pt>
                <c:pt idx="5">
                  <c:v>401</c:v>
                </c:pt>
                <c:pt idx="6">
                  <c:v>329</c:v>
                </c:pt>
                <c:pt idx="7">
                  <c:v>408</c:v>
                </c:pt>
                <c:pt idx="8">
                  <c:v>566</c:v>
                </c:pt>
                <c:pt idx="9">
                  <c:v>735</c:v>
                </c:pt>
                <c:pt idx="10">
                  <c:v>647</c:v>
                </c:pt>
                <c:pt idx="11">
                  <c:v>209</c:v>
                </c:pt>
                <c:pt idx="12">
                  <c:v>240</c:v>
                </c:pt>
                <c:pt idx="13">
                  <c:v>206</c:v>
                </c:pt>
                <c:pt idx="14">
                  <c:v>160</c:v>
                </c:pt>
                <c:pt idx="15">
                  <c:v>275</c:v>
                </c:pt>
                <c:pt idx="16">
                  <c:v>221</c:v>
                </c:pt>
                <c:pt idx="17">
                  <c:v>139</c:v>
                </c:pt>
                <c:pt idx="18">
                  <c:v>131</c:v>
                </c:pt>
                <c:pt idx="19">
                  <c:v>67</c:v>
                </c:pt>
                <c:pt idx="20">
                  <c:v>123</c:v>
                </c:pt>
                <c:pt idx="21">
                  <c:v>95</c:v>
                </c:pt>
                <c:pt idx="22">
                  <c:v>376</c:v>
                </c:pt>
                <c:pt idx="23">
                  <c:v>214</c:v>
                </c:pt>
                <c:pt idx="24">
                  <c:v>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184-4FC6-838A-7735F6C9369A}"/>
            </c:ext>
          </c:extLst>
        </c:ser>
        <c:ser>
          <c:idx val="10"/>
          <c:order val="5"/>
          <c:tx>
            <c:strRef>
              <c:f>'Historical trend ass. Lit_visua'!$F$134</c:f>
              <c:strCache>
                <c:ptCount val="1"/>
                <c:pt idx="0">
                  <c:v>Natural Gas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 w="25400">
              <a:noFill/>
            </a:ln>
            <a:effectLst/>
          </c:spPr>
          <c:cat>
            <c:numRef>
              <c:f>'Historical trend ass. Lit_visua'!$A$135:$A$159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Lit_visua'!$F$135:$F$159</c:f>
              <c:numCache>
                <c:formatCode>#,##0</c:formatCode>
                <c:ptCount val="25"/>
                <c:pt idx="0">
                  <c:v>1616</c:v>
                </c:pt>
                <c:pt idx="1">
                  <c:v>1884</c:v>
                </c:pt>
                <c:pt idx="2">
                  <c:v>2109</c:v>
                </c:pt>
                <c:pt idx="3">
                  <c:v>2518</c:v>
                </c:pt>
                <c:pt idx="4">
                  <c:v>2691</c:v>
                </c:pt>
                <c:pt idx="5">
                  <c:v>3017</c:v>
                </c:pt>
                <c:pt idx="6">
                  <c:v>2464</c:v>
                </c:pt>
                <c:pt idx="7">
                  <c:v>2405</c:v>
                </c:pt>
                <c:pt idx="8">
                  <c:v>2026</c:v>
                </c:pt>
                <c:pt idx="9">
                  <c:v>2101</c:v>
                </c:pt>
                <c:pt idx="10">
                  <c:v>3186</c:v>
                </c:pt>
                <c:pt idx="11">
                  <c:v>2668</c:v>
                </c:pt>
                <c:pt idx="12">
                  <c:v>2879</c:v>
                </c:pt>
                <c:pt idx="13">
                  <c:v>2219</c:v>
                </c:pt>
                <c:pt idx="14">
                  <c:v>1749</c:v>
                </c:pt>
                <c:pt idx="15">
                  <c:v>1979</c:v>
                </c:pt>
                <c:pt idx="16">
                  <c:v>986</c:v>
                </c:pt>
                <c:pt idx="17">
                  <c:v>597</c:v>
                </c:pt>
                <c:pt idx="18">
                  <c:v>330</c:v>
                </c:pt>
                <c:pt idx="19">
                  <c:v>523</c:v>
                </c:pt>
                <c:pt idx="20">
                  <c:v>1698</c:v>
                </c:pt>
                <c:pt idx="21">
                  <c:v>1221</c:v>
                </c:pt>
                <c:pt idx="22">
                  <c:v>514</c:v>
                </c:pt>
                <c:pt idx="23">
                  <c:v>584</c:v>
                </c:pt>
                <c:pt idx="24">
                  <c:v>921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184-4FC6-838A-7735F6C9369A}"/>
            </c:ext>
          </c:extLst>
        </c:ser>
        <c:ser>
          <c:idx val="12"/>
          <c:order val="6"/>
          <c:tx>
            <c:strRef>
              <c:f>'Historical trend ass. Lit_visua'!$G$134</c:f>
              <c:strCache>
                <c:ptCount val="1"/>
                <c:pt idx="0">
                  <c:v>Waste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 w="25400">
              <a:noFill/>
            </a:ln>
            <a:effectLst/>
          </c:spPr>
          <c:cat>
            <c:numRef>
              <c:f>'Historical trend ass. Lit_visua'!$A$135:$A$159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Lit_visua'!$G$135:$G$159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45</c:v>
                </c:pt>
                <c:pt idx="14">
                  <c:v>72</c:v>
                </c:pt>
                <c:pt idx="15">
                  <c:v>103</c:v>
                </c:pt>
                <c:pt idx="16">
                  <c:v>151</c:v>
                </c:pt>
                <c:pt idx="17">
                  <c:v>156</c:v>
                </c:pt>
                <c:pt idx="18">
                  <c:v>132</c:v>
                </c:pt>
                <c:pt idx="19">
                  <c:v>133</c:v>
                </c:pt>
                <c:pt idx="20">
                  <c:v>206</c:v>
                </c:pt>
                <c:pt idx="21">
                  <c:v>379</c:v>
                </c:pt>
                <c:pt idx="22">
                  <c:v>401</c:v>
                </c:pt>
                <c:pt idx="23">
                  <c:v>410</c:v>
                </c:pt>
                <c:pt idx="24">
                  <c:v>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184-4FC6-838A-7735F6C9369A}"/>
            </c:ext>
          </c:extLst>
        </c:ser>
        <c:ser>
          <c:idx val="13"/>
          <c:order val="7"/>
          <c:tx>
            <c:strRef>
              <c:f>'Historical trend ass. Lit_visua'!$H$134</c:f>
              <c:strCache>
                <c:ptCount val="1"/>
                <c:pt idx="0">
                  <c:v>Other sources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cat>
            <c:numRef>
              <c:f>'Historical trend ass. Lit_visua'!$A$135:$A$159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Lit_visua'!$H$135:$H$159</c:f>
              <c:numCache>
                <c:formatCode>General</c:formatCode>
                <c:ptCount val="25"/>
                <c:pt idx="0">
                  <c:v>91</c:v>
                </c:pt>
                <c:pt idx="1">
                  <c:v>68</c:v>
                </c:pt>
                <c:pt idx="2">
                  <c:v>138</c:v>
                </c:pt>
                <c:pt idx="3">
                  <c:v>167</c:v>
                </c:pt>
                <c:pt idx="4">
                  <c:v>170</c:v>
                </c:pt>
                <c:pt idx="5">
                  <c:v>200</c:v>
                </c:pt>
                <c:pt idx="6">
                  <c:v>197</c:v>
                </c:pt>
                <c:pt idx="7">
                  <c:v>231</c:v>
                </c:pt>
                <c:pt idx="8">
                  <c:v>238</c:v>
                </c:pt>
                <c:pt idx="9">
                  <c:v>271</c:v>
                </c:pt>
                <c:pt idx="10">
                  <c:v>250</c:v>
                </c:pt>
                <c:pt idx="11">
                  <c:v>257</c:v>
                </c:pt>
                <c:pt idx="12">
                  <c:v>227</c:v>
                </c:pt>
                <c:pt idx="13">
                  <c:v>237</c:v>
                </c:pt>
                <c:pt idx="14">
                  <c:v>243</c:v>
                </c:pt>
                <c:pt idx="15">
                  <c:v>265</c:v>
                </c:pt>
                <c:pt idx="16">
                  <c:v>270</c:v>
                </c:pt>
                <c:pt idx="17">
                  <c:v>250</c:v>
                </c:pt>
                <c:pt idx="18">
                  <c:v>231</c:v>
                </c:pt>
                <c:pt idx="19">
                  <c:v>223</c:v>
                </c:pt>
                <c:pt idx="20">
                  <c:v>206</c:v>
                </c:pt>
                <c:pt idx="21">
                  <c:v>192</c:v>
                </c:pt>
                <c:pt idx="22">
                  <c:v>63</c:v>
                </c:pt>
                <c:pt idx="23">
                  <c:v>24</c:v>
                </c:pt>
                <c:pt idx="24">
                  <c:v>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184-4FC6-838A-7735F6C9369A}"/>
            </c:ext>
          </c:extLst>
        </c:ser>
        <c:ser>
          <c:idx val="15"/>
          <c:order val="8"/>
          <c:tx>
            <c:strRef>
              <c:f>'Historical trend ass. Lit_visua'!$I$134</c:f>
              <c:strCache>
                <c:ptCount val="1"/>
                <c:pt idx="0">
                  <c:v>Hydropower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 w="25400">
              <a:noFill/>
            </a:ln>
            <a:effectLst/>
          </c:spPr>
          <c:cat>
            <c:numRef>
              <c:f>'Historical trend ass. Lit_visua'!$A$135:$A$159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Lit_visua'!$I$135:$I$159</c:f>
              <c:numCache>
                <c:formatCode>#,##0</c:formatCode>
                <c:ptCount val="25"/>
                <c:pt idx="0">
                  <c:v>644</c:v>
                </c:pt>
                <c:pt idx="1">
                  <c:v>701</c:v>
                </c:pt>
                <c:pt idx="2">
                  <c:v>781</c:v>
                </c:pt>
                <c:pt idx="3">
                  <c:v>985</c:v>
                </c:pt>
                <c:pt idx="4">
                  <c:v>943</c:v>
                </c:pt>
                <c:pt idx="5">
                  <c:v>820</c:v>
                </c:pt>
                <c:pt idx="6">
                  <c:v>802</c:v>
                </c:pt>
                <c:pt idx="7">
                  <c:v>958</c:v>
                </c:pt>
                <c:pt idx="8">
                  <c:v>988</c:v>
                </c:pt>
                <c:pt idx="9">
                  <c:v>1139</c:v>
                </c:pt>
                <c:pt idx="10">
                  <c:v>1295</c:v>
                </c:pt>
                <c:pt idx="11">
                  <c:v>1056</c:v>
                </c:pt>
                <c:pt idx="12">
                  <c:v>937</c:v>
                </c:pt>
                <c:pt idx="13">
                  <c:v>1069</c:v>
                </c:pt>
                <c:pt idx="14">
                  <c:v>1088</c:v>
                </c:pt>
                <c:pt idx="15">
                  <c:v>1024</c:v>
                </c:pt>
                <c:pt idx="16">
                  <c:v>1044</c:v>
                </c:pt>
                <c:pt idx="17">
                  <c:v>1181</c:v>
                </c:pt>
                <c:pt idx="18">
                  <c:v>959</c:v>
                </c:pt>
                <c:pt idx="19">
                  <c:v>947</c:v>
                </c:pt>
                <c:pt idx="20">
                  <c:v>1080</c:v>
                </c:pt>
                <c:pt idx="21">
                  <c:v>1093</c:v>
                </c:pt>
                <c:pt idx="22">
                  <c:v>1020</c:v>
                </c:pt>
                <c:pt idx="23">
                  <c:v>988</c:v>
                </c:pt>
                <c:pt idx="24">
                  <c:v>1010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184-4FC6-838A-7735F6C9369A}"/>
            </c:ext>
          </c:extLst>
        </c:ser>
        <c:ser>
          <c:idx val="16"/>
          <c:order val="9"/>
          <c:tx>
            <c:strRef>
              <c:f>'Historical trend ass. Lit_visua'!$J$134</c:f>
              <c:strCache>
                <c:ptCount val="1"/>
                <c:pt idx="0">
                  <c:v>Wind energy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cat>
            <c:numRef>
              <c:f>'Historical trend ass. Lit_visua'!$A$135:$A$159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Lit_visua'!$J$135:$J$159</c:f>
              <c:numCache>
                <c:formatCode>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1.2</c:v>
                </c:pt>
                <c:pt idx="5">
                  <c:v>1.8</c:v>
                </c:pt>
                <c:pt idx="6">
                  <c:v>13.7</c:v>
                </c:pt>
                <c:pt idx="7">
                  <c:v>106.1</c:v>
                </c:pt>
                <c:pt idx="8">
                  <c:v>131.1</c:v>
                </c:pt>
                <c:pt idx="9">
                  <c:v>157.69999999999999</c:v>
                </c:pt>
                <c:pt idx="10">
                  <c:v>224</c:v>
                </c:pt>
                <c:pt idx="11">
                  <c:v>475</c:v>
                </c:pt>
                <c:pt idx="12">
                  <c:v>540.1</c:v>
                </c:pt>
                <c:pt idx="13">
                  <c:v>602.70000000000005</c:v>
                </c:pt>
                <c:pt idx="14">
                  <c:v>639.1</c:v>
                </c:pt>
                <c:pt idx="15">
                  <c:v>810.3</c:v>
                </c:pt>
                <c:pt idx="16">
                  <c:v>1135.9000000000001</c:v>
                </c:pt>
                <c:pt idx="17">
                  <c:v>1363</c:v>
                </c:pt>
                <c:pt idx="18">
                  <c:v>1144</c:v>
                </c:pt>
                <c:pt idx="19">
                  <c:v>1499.4</c:v>
                </c:pt>
                <c:pt idx="20">
                  <c:v>1551</c:v>
                </c:pt>
                <c:pt idx="21">
                  <c:v>1361</c:v>
                </c:pt>
                <c:pt idx="22">
                  <c:v>1512.4</c:v>
                </c:pt>
                <c:pt idx="23">
                  <c:v>2536.1</c:v>
                </c:pt>
                <c:pt idx="24">
                  <c:v>3448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184-4FC6-838A-7735F6C9369A}"/>
            </c:ext>
          </c:extLst>
        </c:ser>
        <c:ser>
          <c:idx val="17"/>
          <c:order val="10"/>
          <c:tx>
            <c:strRef>
              <c:f>'Historical trend ass. Lit_visua'!$K$134</c:f>
              <c:strCache>
                <c:ptCount val="1"/>
                <c:pt idx="0">
                  <c:v>Nuclear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cat>
            <c:numRef>
              <c:f>'Historical trend ass. Lit_visua'!$A$135:$A$159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Lit_visua'!$K$135:$K$159</c:f>
              <c:numCache>
                <c:formatCode>#,##0</c:formatCode>
                <c:ptCount val="25"/>
                <c:pt idx="0">
                  <c:v>8419</c:v>
                </c:pt>
                <c:pt idx="1">
                  <c:v>11362</c:v>
                </c:pt>
                <c:pt idx="2">
                  <c:v>14142</c:v>
                </c:pt>
                <c:pt idx="3">
                  <c:v>15484</c:v>
                </c:pt>
                <c:pt idx="4">
                  <c:v>15102</c:v>
                </c:pt>
                <c:pt idx="5">
                  <c:v>10337</c:v>
                </c:pt>
                <c:pt idx="6">
                  <c:v>8651</c:v>
                </c:pt>
                <c:pt idx="7">
                  <c:v>9833</c:v>
                </c:pt>
                <c:pt idx="8">
                  <c:v>9894</c:v>
                </c:pt>
                <c:pt idx="9">
                  <c:v>10852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184-4FC6-838A-7735F6C9369A}"/>
            </c:ext>
          </c:extLst>
        </c:ser>
        <c:ser>
          <c:idx val="18"/>
          <c:order val="11"/>
          <c:tx>
            <c:strRef>
              <c:f>'Historical trend ass. Lit_visua'!$L$134</c:f>
              <c:strCache>
                <c:ptCount val="1"/>
                <c:pt idx="0">
                  <c:v>Solar energy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cat>
            <c:numRef>
              <c:f>'Historical trend ass. Lit_visua'!$A$135:$A$159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'Historical trend ass. Lit_visua'!$L$135:$L$159</c:f>
              <c:numCache>
                <c:formatCode>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</c:v>
                </c:pt>
                <c:pt idx="13">
                  <c:v>45</c:v>
                </c:pt>
                <c:pt idx="14">
                  <c:v>73</c:v>
                </c:pt>
                <c:pt idx="15">
                  <c:v>73</c:v>
                </c:pt>
                <c:pt idx="16">
                  <c:v>66</c:v>
                </c:pt>
                <c:pt idx="17">
                  <c:v>68</c:v>
                </c:pt>
                <c:pt idx="18">
                  <c:v>86</c:v>
                </c:pt>
                <c:pt idx="19">
                  <c:v>91</c:v>
                </c:pt>
                <c:pt idx="20">
                  <c:v>128</c:v>
                </c:pt>
                <c:pt idx="21">
                  <c:v>190</c:v>
                </c:pt>
                <c:pt idx="22">
                  <c:v>342</c:v>
                </c:pt>
                <c:pt idx="23">
                  <c:v>688</c:v>
                </c:pt>
                <c:pt idx="24">
                  <c:v>1397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184-4FC6-838A-7735F6C9369A}"/>
            </c:ext>
          </c:extLst>
        </c:ser>
        <c:ser>
          <c:idx val="1"/>
          <c:order val="14"/>
          <c:tx>
            <c:strRef>
              <c:f>'Historical trend ass. Lit_visua'!$M$134</c:f>
              <c:strCache>
                <c:ptCount val="1"/>
                <c:pt idx="0">
                  <c:v>Electricity import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val>
            <c:numRef>
              <c:f>'Historical trend ass. Lit_visua'!$M$135:$M$159</c:f>
              <c:numCache>
                <c:formatCode>#,##0</c:formatCode>
                <c:ptCount val="25"/>
                <c:pt idx="0">
                  <c:v>5150</c:v>
                </c:pt>
                <c:pt idx="1">
                  <c:v>4442</c:v>
                </c:pt>
                <c:pt idx="2">
                  <c:v>4532</c:v>
                </c:pt>
                <c:pt idx="3">
                  <c:v>4144</c:v>
                </c:pt>
                <c:pt idx="4">
                  <c:v>4293</c:v>
                </c:pt>
                <c:pt idx="5">
                  <c:v>5641</c:v>
                </c:pt>
                <c:pt idx="6">
                  <c:v>5812</c:v>
                </c:pt>
                <c:pt idx="7">
                  <c:v>5846</c:v>
                </c:pt>
                <c:pt idx="8">
                  <c:v>5649</c:v>
                </c:pt>
                <c:pt idx="9">
                  <c:v>4783</c:v>
                </c:pt>
                <c:pt idx="10">
                  <c:v>8174</c:v>
                </c:pt>
                <c:pt idx="11">
                  <c:v>8086</c:v>
                </c:pt>
                <c:pt idx="12">
                  <c:v>8060</c:v>
                </c:pt>
                <c:pt idx="13">
                  <c:v>8073</c:v>
                </c:pt>
                <c:pt idx="14">
                  <c:v>8521</c:v>
                </c:pt>
                <c:pt idx="15">
                  <c:v>7938</c:v>
                </c:pt>
                <c:pt idx="16">
                  <c:v>11106</c:v>
                </c:pt>
                <c:pt idx="17">
                  <c:v>11926</c:v>
                </c:pt>
                <c:pt idx="18">
                  <c:v>12847</c:v>
                </c:pt>
                <c:pt idx="19">
                  <c:v>13267</c:v>
                </c:pt>
                <c:pt idx="20">
                  <c:v>12013</c:v>
                </c:pt>
                <c:pt idx="21">
                  <c:v>12478</c:v>
                </c:pt>
                <c:pt idx="22">
                  <c:v>12933</c:v>
                </c:pt>
                <c:pt idx="23">
                  <c:v>10909</c:v>
                </c:pt>
                <c:pt idx="24">
                  <c:v>9702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184-4FC6-838A-7735F6C93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99704239"/>
        <c:axId val="1799703759"/>
        <c:extLst>
          <c:ext xmlns:c15="http://schemas.microsoft.com/office/drawing/2012/chart" uri="{02D57815-91ED-43cb-92C2-25804820EDAC}">
            <c15:filteredArea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'Historical trend ass. Lit_visua'!$A$134</c15:sqref>
                        </c15:formulaRef>
                      </c:ext>
                    </c:extLst>
                    <c:strCache>
                      <c:ptCount val="1"/>
                      <c:pt idx="0">
                        <c:v>Total production GWh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 w="25400">
                    <a:noFill/>
                  </a:ln>
                  <a:effectLst/>
                </c:spPr>
                <c:cat>
                  <c:numRef>
                    <c:extLst>
                      <c:ext uri="{02D57815-91ED-43cb-92C2-25804820EDAC}">
                        <c15:formulaRef>
                          <c15:sqref>'Historical trend ass. Lit_visua'!$A$135:$A$159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2020</c:v>
                      </c:pt>
                      <c:pt idx="21">
                        <c:v>2021</c:v>
                      </c:pt>
                      <c:pt idx="22">
                        <c:v>2022</c:v>
                      </c:pt>
                      <c:pt idx="23">
                        <c:v>2023</c:v>
                      </c:pt>
                      <c:pt idx="24">
                        <c:v>2024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'Historical trend ass. Lit_visua'!$A$135:$A$159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2020</c:v>
                      </c:pt>
                      <c:pt idx="21">
                        <c:v>2021</c:v>
                      </c:pt>
                      <c:pt idx="22">
                        <c:v>2022</c:v>
                      </c:pt>
                      <c:pt idx="23">
                        <c:v>2023</c:v>
                      </c:pt>
                      <c:pt idx="24">
                        <c:v>2024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D-1184-4FC6-838A-7735F6C9369A}"/>
                  </c:ext>
                </c:extLst>
              </c15:ser>
            </c15:filteredAreaSeries>
            <c15:filteredAreaSeries>
              <c15:ser>
                <c:idx val="0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'Historical trend ass. Lit_visua'!$B$134</c15:sqref>
                        </c15:formulaRef>
                      </c:ext>
                    </c:extLst>
                    <c:strCache>
                      <c:ptCount val="1"/>
                      <c:pt idx="0">
                        <c:v>Total 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'Historical trend ass. Lit_visua'!$A$135:$A$159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2020</c:v>
                      </c:pt>
                      <c:pt idx="21">
                        <c:v>2021</c:v>
                      </c:pt>
                      <c:pt idx="22">
                        <c:v>2022</c:v>
                      </c:pt>
                      <c:pt idx="23">
                        <c:v>2023</c:v>
                      </c:pt>
                      <c:pt idx="24">
                        <c:v>2024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'Historical trend ass. Lit_visua'!$B$135:$B$159</c15:sqref>
                        </c15:formulaRef>
                      </c:ext>
                    </c:extLst>
                    <c:numCache>
                      <c:formatCode>0</c:formatCode>
                      <c:ptCount val="25"/>
                      <c:pt idx="0">
                        <c:v>11425</c:v>
                      </c:pt>
                      <c:pt idx="1">
                        <c:v>14737</c:v>
                      </c:pt>
                      <c:pt idx="2">
                        <c:v>17720.900000000001</c:v>
                      </c:pt>
                      <c:pt idx="3">
                        <c:v>19487.599999999999</c:v>
                      </c:pt>
                      <c:pt idx="4">
                        <c:v>19272.5</c:v>
                      </c:pt>
                      <c:pt idx="5">
                        <c:v>14779.400000000001</c:v>
                      </c:pt>
                      <c:pt idx="6">
                        <c:v>12477</c:v>
                      </c:pt>
                      <c:pt idx="7">
                        <c:v>14001.5</c:v>
                      </c:pt>
                      <c:pt idx="8">
                        <c:v>13903.7</c:v>
                      </c:pt>
                      <c:pt idx="9">
                        <c:v>15343</c:v>
                      </c:pt>
                      <c:pt idx="10">
                        <c:v>5718</c:v>
                      </c:pt>
                      <c:pt idx="11">
                        <c:v>4786.3999999999996</c:v>
                      </c:pt>
                      <c:pt idx="12">
                        <c:v>5000.6000000000004</c:v>
                      </c:pt>
                      <c:pt idx="13">
                        <c:v>4702.3999999999996</c:v>
                      </c:pt>
                      <c:pt idx="14">
                        <c:v>4318.7</c:v>
                      </c:pt>
                      <c:pt idx="15">
                        <c:v>4847.5</c:v>
                      </c:pt>
                      <c:pt idx="16">
                        <c:v>4136.1000000000004</c:v>
                      </c:pt>
                      <c:pt idx="17">
                        <c:v>4046.3</c:v>
                      </c:pt>
                      <c:pt idx="18">
                        <c:v>3335.4</c:v>
                      </c:pt>
                      <c:pt idx="19">
                        <c:v>3778.9</c:v>
                      </c:pt>
                      <c:pt idx="20">
                        <c:v>5308.9</c:v>
                      </c:pt>
                      <c:pt idx="21">
                        <c:v>4853.5</c:v>
                      </c:pt>
                      <c:pt idx="22">
                        <c:v>4543.7000000000007</c:v>
                      </c:pt>
                      <c:pt idx="23">
                        <c:v>5776.9</c:v>
                      </c:pt>
                      <c:pt idx="24">
                        <c:v>7996.8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1184-4FC6-838A-7735F6C9369A}"/>
                  </c:ext>
                </c:extLst>
              </c15:ser>
            </c15:filteredAreaSeries>
          </c:ext>
        </c:extLst>
      </c:areaChart>
      <c:lineChart>
        <c:grouping val="standard"/>
        <c:varyColors val="0"/>
        <c:ser>
          <c:idx val="19"/>
          <c:order val="12"/>
          <c:tx>
            <c:strRef>
              <c:f>'Historical trend ass. Lit_visua'!$N$134</c:f>
              <c:strCache>
                <c:ptCount val="1"/>
                <c:pt idx="0">
                  <c:v>Share of fossil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'Historical trend ass. Lit_visua'!$N$135:$N$159</c:f>
              <c:numCache>
                <c:formatCode>0%</c:formatCode>
                <c:ptCount val="25"/>
                <c:pt idx="0">
                  <c:v>0.20673960612691467</c:v>
                </c:pt>
                <c:pt idx="1">
                  <c:v>0.18131234308203842</c:v>
                </c:pt>
                <c:pt idx="2">
                  <c:v>0.1576669356522524</c:v>
                </c:pt>
                <c:pt idx="3">
                  <c:v>0.15455982265645848</c:v>
                </c:pt>
                <c:pt idx="4">
                  <c:v>0.1671812167596316</c:v>
                </c:pt>
                <c:pt idx="5">
                  <c:v>0.24480019486582677</c:v>
                </c:pt>
                <c:pt idx="6">
                  <c:v>0.23972108679971146</c:v>
                </c:pt>
                <c:pt idx="7">
                  <c:v>0.21826232903617471</c:v>
                </c:pt>
                <c:pt idx="8">
                  <c:v>0.20361486510784899</c:v>
                </c:pt>
                <c:pt idx="9">
                  <c:v>0.20250276999283059</c:v>
                </c:pt>
                <c:pt idx="10">
                  <c:v>0.71406086044071349</c:v>
                </c:pt>
                <c:pt idx="11">
                  <c:v>0.65477185358515799</c:v>
                </c:pt>
                <c:pt idx="12">
                  <c:v>0.66911970563532375</c:v>
                </c:pt>
                <c:pt idx="13">
                  <c:v>0.57020685006529892</c:v>
                </c:pt>
                <c:pt idx="14">
                  <c:v>0.50698066367549599</c:v>
                </c:pt>
                <c:pt idx="15">
                  <c:v>0.52964347035652959</c:v>
                </c:pt>
                <c:pt idx="16">
                  <c:v>0.37974388281122434</c:v>
                </c:pt>
                <c:pt idx="17">
                  <c:v>0.27175594317397617</c:v>
                </c:pt>
                <c:pt idx="18">
                  <c:v>0.23764203726134855</c:v>
                </c:pt>
                <c:pt idx="19">
                  <c:v>0.24182622255170122</c:v>
                </c:pt>
                <c:pt idx="20">
                  <c:v>0.40490308074489112</c:v>
                </c:pt>
                <c:pt idx="21">
                  <c:v>0.36063067367415191</c:v>
                </c:pt>
                <c:pt idx="22">
                  <c:v>0.27382854369324733</c:v>
                </c:pt>
                <c:pt idx="23">
                  <c:v>0.19913042072766654</c:v>
                </c:pt>
                <c:pt idx="24">
                  <c:v>0.19104115647067216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1184-4FC6-838A-7735F6C9369A}"/>
            </c:ext>
          </c:extLst>
        </c:ser>
        <c:ser>
          <c:idx val="20"/>
          <c:order val="13"/>
          <c:tx>
            <c:strRef>
              <c:f>'Historical trend ass. Lit_visua'!$O$134</c:f>
              <c:strCache>
                <c:ptCount val="1"/>
                <c:pt idx="0">
                  <c:v>Share of renewable and low-carbon</c:v>
                </c:pt>
              </c:strCache>
            </c:strRef>
          </c:tx>
          <c:spPr>
            <a:ln w="28575" cap="rnd">
              <a:solidFill>
                <a:schemeClr val="accent3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'Historical trend ass. Lit_visua'!$O$135:$O$159</c:f>
              <c:numCache>
                <c:formatCode>0%</c:formatCode>
                <c:ptCount val="25"/>
                <c:pt idx="0">
                  <c:v>0.79326039387308533</c:v>
                </c:pt>
                <c:pt idx="1">
                  <c:v>0.81868765691796164</c:v>
                </c:pt>
                <c:pt idx="2">
                  <c:v>0.84233306434774746</c:v>
                </c:pt>
                <c:pt idx="3">
                  <c:v>0.84544017734354149</c:v>
                </c:pt>
                <c:pt idx="4">
                  <c:v>0.8328187832403684</c:v>
                </c:pt>
                <c:pt idx="5">
                  <c:v>0.75519980513417329</c:v>
                </c:pt>
                <c:pt idx="6">
                  <c:v>0.76027891320028851</c:v>
                </c:pt>
                <c:pt idx="7">
                  <c:v>0.78173767096382529</c:v>
                </c:pt>
                <c:pt idx="8">
                  <c:v>0.79638513489215101</c:v>
                </c:pt>
                <c:pt idx="9">
                  <c:v>0.79749723000716943</c:v>
                </c:pt>
                <c:pt idx="10">
                  <c:v>0.28593913955928646</c:v>
                </c:pt>
                <c:pt idx="11">
                  <c:v>0.34522814641484212</c:v>
                </c:pt>
                <c:pt idx="12">
                  <c:v>0.3308802943646762</c:v>
                </c:pt>
                <c:pt idx="13">
                  <c:v>0.42979314993470114</c:v>
                </c:pt>
                <c:pt idx="14">
                  <c:v>0.49301933632450406</c:v>
                </c:pt>
                <c:pt idx="15">
                  <c:v>0.47035652964347036</c:v>
                </c:pt>
                <c:pt idx="16">
                  <c:v>0.62025611718877571</c:v>
                </c:pt>
                <c:pt idx="17">
                  <c:v>0.72824405682602389</c:v>
                </c:pt>
                <c:pt idx="18">
                  <c:v>0.76235796273865142</c:v>
                </c:pt>
                <c:pt idx="19">
                  <c:v>0.75817377744829884</c:v>
                </c:pt>
                <c:pt idx="20">
                  <c:v>0.59509691925510899</c:v>
                </c:pt>
                <c:pt idx="21">
                  <c:v>0.63936932632584809</c:v>
                </c:pt>
                <c:pt idx="22">
                  <c:v>0.72617145630675273</c:v>
                </c:pt>
                <c:pt idx="23">
                  <c:v>0.80086957927233349</c:v>
                </c:pt>
                <c:pt idx="24">
                  <c:v>0.8089588435293279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1184-4FC6-838A-7735F6C93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8686784"/>
        <c:axId val="1198678624"/>
      </c:lineChart>
      <c:catAx>
        <c:axId val="179970423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99703759"/>
        <c:crosses val="autoZero"/>
        <c:auto val="1"/>
        <c:lblAlgn val="ctr"/>
        <c:lblOffset val="100"/>
        <c:noMultiLvlLbl val="0"/>
      </c:catAx>
      <c:valAx>
        <c:axId val="1799703759"/>
        <c:scaling>
          <c:orientation val="minMax"/>
          <c:max val="16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99704239"/>
        <c:crosses val="autoZero"/>
        <c:crossBetween val="between"/>
      </c:valAx>
      <c:valAx>
        <c:axId val="1198678624"/>
        <c:scaling>
          <c:orientation val="minMax"/>
          <c:max val="1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8686784"/>
        <c:crosses val="max"/>
        <c:crossBetween val="between"/>
      </c:valAx>
      <c:catAx>
        <c:axId val="1198686784"/>
        <c:scaling>
          <c:orientation val="minMax"/>
        </c:scaling>
        <c:delete val="1"/>
        <c:axPos val="b"/>
        <c:majorTickMark val="out"/>
        <c:minorTickMark val="none"/>
        <c:tickLblPos val="nextTo"/>
        <c:crossAx val="11986786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202881142974546"/>
          <c:y val="0.61364666968977566"/>
          <c:w val="0.89797117344802357"/>
          <c:h val="0.386353330310224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'Historical trend ass. Lit_visua'!$A$361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'Historical trend ass. Lit_visua'!$B$360:$M$360</c:f>
              <c:strCach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strCache>
            </c:strRef>
          </c:cat>
          <c:val>
            <c:numRef>
              <c:f>'Historical trend ass. Lit_visua'!$B$361:$M$361</c:f>
              <c:numCache>
                <c:formatCode>#,##0</c:formatCode>
                <c:ptCount val="12"/>
                <c:pt idx="0">
                  <c:v>1808982</c:v>
                </c:pt>
                <c:pt idx="1">
                  <c:v>1205668</c:v>
                </c:pt>
                <c:pt idx="2">
                  <c:v>1244063</c:v>
                </c:pt>
                <c:pt idx="3">
                  <c:v>1298737</c:v>
                </c:pt>
                <c:pt idx="4">
                  <c:v>1356987</c:v>
                </c:pt>
                <c:pt idx="5">
                  <c:v>1430520</c:v>
                </c:pt>
                <c:pt idx="6">
                  <c:v>1498688</c:v>
                </c:pt>
                <c:pt idx="7">
                  <c:v>1565465</c:v>
                </c:pt>
                <c:pt idx="8">
                  <c:v>1611143</c:v>
                </c:pt>
                <c:pt idx="9">
                  <c:v>1650384</c:v>
                </c:pt>
                <c:pt idx="10">
                  <c:v>1700524</c:v>
                </c:pt>
                <c:pt idx="11">
                  <c:v>1729713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4B-42F8-921A-8E2E6E942B6F}"/>
            </c:ext>
          </c:extLst>
        </c:ser>
        <c:ser>
          <c:idx val="1"/>
          <c:order val="1"/>
          <c:tx>
            <c:strRef>
              <c:f>'Historical trend ass. Lit_visua'!$A$362</c:f>
              <c:strCache>
                <c:ptCount val="1"/>
                <c:pt idx="0">
                  <c:v>Electricity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'Historical trend ass. Lit_visua'!$B$360:$M$360</c:f>
              <c:strCach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strCache>
            </c:strRef>
          </c:cat>
          <c:val>
            <c:numRef>
              <c:f>'Historical trend ass. Lit_visua'!$B$362:$M$362</c:f>
              <c:numCache>
                <c:formatCode>#,##0</c:formatCode>
                <c:ptCount val="12"/>
                <c:pt idx="0">
                  <c:v>2</c:v>
                </c:pt>
                <c:pt idx="1">
                  <c:v>70</c:v>
                </c:pt>
                <c:pt idx="2">
                  <c:v>169</c:v>
                </c:pt>
                <c:pt idx="3">
                  <c:v>358</c:v>
                </c:pt>
                <c:pt idx="4">
                  <c:v>619</c:v>
                </c:pt>
                <c:pt idx="5">
                  <c:v>965</c:v>
                </c:pt>
                <c:pt idx="6">
                  <c:v>1395</c:v>
                </c:pt>
                <c:pt idx="7">
                  <c:v>2475</c:v>
                </c:pt>
                <c:pt idx="8">
                  <c:v>4831</c:v>
                </c:pt>
                <c:pt idx="9">
                  <c:v>7305</c:v>
                </c:pt>
                <c:pt idx="10">
                  <c:v>11424</c:v>
                </c:pt>
                <c:pt idx="11">
                  <c:v>15741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4B-42F8-921A-8E2E6E942B6F}"/>
            </c:ext>
          </c:extLst>
        </c:ser>
        <c:ser>
          <c:idx val="2"/>
          <c:order val="2"/>
          <c:tx>
            <c:strRef>
              <c:f>'Historical trend ass. Lit_visua'!$A$363</c:f>
              <c:strCache>
                <c:ptCount val="1"/>
                <c:pt idx="0">
                  <c:v>Electric Hybrid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'Historical trend ass. Lit_visua'!$B$360:$M$360</c:f>
              <c:strCach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strCache>
            </c:strRef>
          </c:cat>
          <c:val>
            <c:numRef>
              <c:f>'Historical trend ass. Lit_visua'!$B$363:$M$363</c:f>
              <c:numCache>
                <c:formatCode>#,##0</c:formatCode>
                <c:ptCount val="12"/>
                <c:pt idx="0">
                  <c:v>1129</c:v>
                </c:pt>
                <c:pt idx="1">
                  <c:v>2930</c:v>
                </c:pt>
                <c:pt idx="2">
                  <c:v>3919</c:v>
                </c:pt>
                <c:pt idx="3">
                  <c:v>5678</c:v>
                </c:pt>
                <c:pt idx="4">
                  <c:v>8622</c:v>
                </c:pt>
                <c:pt idx="5">
                  <c:v>14108</c:v>
                </c:pt>
                <c:pt idx="6">
                  <c:v>20978</c:v>
                </c:pt>
                <c:pt idx="7">
                  <c:v>29175</c:v>
                </c:pt>
                <c:pt idx="8">
                  <c:v>39056</c:v>
                </c:pt>
                <c:pt idx="9">
                  <c:v>52902</c:v>
                </c:pt>
                <c:pt idx="10">
                  <c:v>69105</c:v>
                </c:pt>
                <c:pt idx="11">
                  <c:v>91082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4B-42F8-921A-8E2E6E942B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73360367"/>
        <c:axId val="1373377647"/>
      </c:barChart>
      <c:catAx>
        <c:axId val="1373360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3377647"/>
        <c:crosses val="autoZero"/>
        <c:auto val="1"/>
        <c:lblAlgn val="ctr"/>
        <c:lblOffset val="100"/>
        <c:noMultiLvlLbl val="0"/>
      </c:catAx>
      <c:valAx>
        <c:axId val="1373377647"/>
        <c:scaling>
          <c:orientation val="minMax"/>
          <c:max val="18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Nb. of cars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33603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'Historical trend ass. Lit_visua'!$A$368</c:f>
              <c:strCache>
                <c:ptCount val="1"/>
                <c:pt idx="0">
                  <c:v>% of electricity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'Historical trend ass. Lit_visua'!$B$367:$M$367</c:f>
              <c:strCach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strCache>
            </c:strRef>
          </c:cat>
          <c:val>
            <c:numRef>
              <c:f>'Historical trend ass. Lit_visua'!$B$368:$M$368</c:f>
              <c:numCache>
                <c:formatCode>0.0%</c:formatCode>
                <c:ptCount val="12"/>
                <c:pt idx="0">
                  <c:v>1.1055941960727082E-6</c:v>
                </c:pt>
                <c:pt idx="1">
                  <c:v>5.8059100846999338E-5</c:v>
                </c:pt>
                <c:pt idx="2">
                  <c:v>1.3584521041136983E-4</c:v>
                </c:pt>
                <c:pt idx="3">
                  <c:v>2.7565242231491056E-4</c:v>
                </c:pt>
                <c:pt idx="4">
                  <c:v>4.5615764926266794E-4</c:v>
                </c:pt>
                <c:pt idx="5">
                  <c:v>6.7457987305315551E-4</c:v>
                </c:pt>
                <c:pt idx="6">
                  <c:v>9.3081415211171371E-4</c:v>
                </c:pt>
                <c:pt idx="7">
                  <c:v>1.580999894600007E-3</c:v>
                </c:pt>
                <c:pt idx="8">
                  <c:v>2.9984923746681704E-3</c:v>
                </c:pt>
                <c:pt idx="9">
                  <c:v>4.4262426198993692E-3</c:v>
                </c:pt>
                <c:pt idx="10">
                  <c:v>6.7179292970872507E-3</c:v>
                </c:pt>
                <c:pt idx="11">
                  <c:v>9.1003536424828866E-3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40-4869-B85A-92039FD17FAF}"/>
            </c:ext>
          </c:extLst>
        </c:ser>
        <c:ser>
          <c:idx val="1"/>
          <c:order val="1"/>
          <c:tx>
            <c:strRef>
              <c:f>'Historical trend ass. Lit_visua'!$A$369</c:f>
              <c:strCache>
                <c:ptCount val="1"/>
                <c:pt idx="0">
                  <c:v>% of electric hybrid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'Historical trend ass. Lit_visua'!$B$367:$M$367</c:f>
              <c:strCach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strCache>
            </c:strRef>
          </c:cat>
          <c:val>
            <c:numRef>
              <c:f>'Historical trend ass. Lit_visua'!$B$369:$M$369</c:f>
              <c:numCache>
                <c:formatCode>0.0%</c:formatCode>
                <c:ptCount val="12"/>
                <c:pt idx="0">
                  <c:v>6.2410792368304384E-4</c:v>
                </c:pt>
                <c:pt idx="1">
                  <c:v>2.4301880783101151E-3</c:v>
                </c:pt>
                <c:pt idx="2">
                  <c:v>3.1501620094802271E-3</c:v>
                </c:pt>
                <c:pt idx="3">
                  <c:v>4.3719398153744754E-3</c:v>
                </c:pt>
                <c:pt idx="4">
                  <c:v>6.3537823133161921E-3</c:v>
                </c:pt>
                <c:pt idx="5">
                  <c:v>9.8621480300869618E-3</c:v>
                </c:pt>
                <c:pt idx="6">
                  <c:v>1.3997576546953069E-2</c:v>
                </c:pt>
                <c:pt idx="7">
                  <c:v>1.8636635121194022E-2</c:v>
                </c:pt>
                <c:pt idx="8">
                  <c:v>2.42411753643221E-2</c:v>
                </c:pt>
                <c:pt idx="9">
                  <c:v>3.2054358258441669E-2</c:v>
                </c:pt>
                <c:pt idx="10">
                  <c:v>4.0637474096219754E-2</c:v>
                </c:pt>
                <c:pt idx="11">
                  <c:v>5.2657290544731984E-2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40-4869-B85A-92039FD17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43716143"/>
        <c:axId val="1343699823"/>
      </c:lineChart>
      <c:catAx>
        <c:axId val="1343716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43699823"/>
        <c:crosses val="autoZero"/>
        <c:auto val="1"/>
        <c:lblAlgn val="ctr"/>
        <c:lblOffset val="100"/>
        <c:noMultiLvlLbl val="0"/>
      </c:catAx>
      <c:valAx>
        <c:axId val="1343699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437161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'Historical trend ass. Lit_visua'!$A$294</c:f>
              <c:strCache>
                <c:ptCount val="1"/>
                <c:pt idx="0">
                  <c:v> Space heating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'Historical trend ass. Lit_visua'!$E$293:$K$293</c:f>
              <c:numCache>
                <c:formatCode>0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'Historical trend ass. Lit_visua'!$E$294:$K$294</c:f>
              <c:numCache>
                <c:formatCode>0</c:formatCode>
                <c:ptCount val="7"/>
                <c:pt idx="0">
                  <c:v>150.52032000000003</c:v>
                </c:pt>
                <c:pt idx="1">
                  <c:v>161.32896000000002</c:v>
                </c:pt>
                <c:pt idx="2">
                  <c:v>163.23048</c:v>
                </c:pt>
                <c:pt idx="3">
                  <c:v>173.63880000000003</c:v>
                </c:pt>
                <c:pt idx="4">
                  <c:v>221.87736000000001</c:v>
                </c:pt>
                <c:pt idx="5">
                  <c:v>276.52104000000003</c:v>
                </c:pt>
                <c:pt idx="6">
                  <c:v>296.13672000000003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BB-4E88-8EB6-EB314EB5DF3C}"/>
            </c:ext>
          </c:extLst>
        </c:ser>
        <c:ser>
          <c:idx val="2"/>
          <c:order val="1"/>
          <c:tx>
            <c:strRef>
              <c:f>'Historical trend ass. Lit_visua'!$A$295</c:f>
              <c:strCache>
                <c:ptCount val="1"/>
                <c:pt idx="0">
                  <c:v> Space cooling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'Historical trend ass. Lit_visua'!$E$293:$K$293</c:f>
              <c:numCache>
                <c:formatCode>0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'Historical trend ass. Lit_visua'!$E$295:$K$295</c:f>
              <c:numCache>
                <c:formatCode>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BB-4E88-8EB6-EB314EB5DF3C}"/>
            </c:ext>
          </c:extLst>
        </c:ser>
        <c:ser>
          <c:idx val="3"/>
          <c:order val="2"/>
          <c:tx>
            <c:strRef>
              <c:f>'Historical trend ass. Lit_visua'!$A$296</c:f>
              <c:strCache>
                <c:ptCount val="1"/>
                <c:pt idx="0">
                  <c:v>Water heating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'Historical trend ass. Lit_visua'!$E$293:$K$293</c:f>
              <c:numCache>
                <c:formatCode>0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'Historical trend ass. Lit_visua'!$E$296:$K$296</c:f>
              <c:numCache>
                <c:formatCode>0</c:formatCode>
                <c:ptCount val="7"/>
                <c:pt idx="0">
                  <c:v>147.71808000000001</c:v>
                </c:pt>
                <c:pt idx="1">
                  <c:v>149.31936000000002</c:v>
                </c:pt>
                <c:pt idx="2">
                  <c:v>137.00952000000001</c:v>
                </c:pt>
                <c:pt idx="3">
                  <c:v>137.1096</c:v>
                </c:pt>
                <c:pt idx="4">
                  <c:v>228.68280000000001</c:v>
                </c:pt>
                <c:pt idx="5">
                  <c:v>227.08152000000004</c:v>
                </c:pt>
                <c:pt idx="6">
                  <c:v>245.69640000000001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FBB-4E88-8EB6-EB314EB5DF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39690384"/>
        <c:axId val="1639687984"/>
      </c:barChart>
      <c:catAx>
        <c:axId val="1639690384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9687984"/>
        <c:crosses val="autoZero"/>
        <c:auto val="1"/>
        <c:lblAlgn val="ctr"/>
        <c:lblOffset val="100"/>
        <c:noMultiLvlLbl val="0"/>
      </c:catAx>
      <c:valAx>
        <c:axId val="1639687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9690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2"/>
          <c:order val="0"/>
          <c:tx>
            <c:strRef>
              <c:f>'Historical trend ass. Lit_visua'!$A$330</c:f>
              <c:strCache>
                <c:ptCount val="1"/>
                <c:pt idx="0">
                  <c:v>Other services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'Historical trend ass. Lit_visua'!$D$328:$E$328</c:f>
              <c:numCache>
                <c:formatCode>General</c:formatCode>
                <c:ptCount val="2"/>
                <c:pt idx="0">
                  <c:v>2022</c:v>
                </c:pt>
                <c:pt idx="1">
                  <c:v>2023</c:v>
                </c:pt>
              </c:numCache>
            </c:numRef>
          </c:cat>
          <c:val>
            <c:numRef>
              <c:f>'Historical trend ass. Lit_visua'!$D$330:$E$330</c:f>
              <c:numCache>
                <c:formatCode>0</c:formatCode>
                <c:ptCount val="2"/>
                <c:pt idx="0">
                  <c:v>983</c:v>
                </c:pt>
                <c:pt idx="1">
                  <c:v>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0B-464B-B3D1-911CC1E8C942}"/>
            </c:ext>
          </c:extLst>
        </c:ser>
        <c:ser>
          <c:idx val="3"/>
          <c:order val="1"/>
          <c:tx>
            <c:strRef>
              <c:f>'Historical trend ass. Lit_visua'!$A$331</c:f>
              <c:strCache>
                <c:ptCount val="1"/>
                <c:pt idx="0">
                  <c:v>Wholesale and retail trade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'Historical trend ass. Lit_visua'!$D$328:$E$328</c:f>
              <c:numCache>
                <c:formatCode>General</c:formatCode>
                <c:ptCount val="2"/>
                <c:pt idx="0">
                  <c:v>2022</c:v>
                </c:pt>
                <c:pt idx="1">
                  <c:v>2023</c:v>
                </c:pt>
              </c:numCache>
            </c:numRef>
          </c:cat>
          <c:val>
            <c:numRef>
              <c:f>'Historical trend ass. Lit_visua'!$D$331:$E$331</c:f>
              <c:numCache>
                <c:formatCode>0</c:formatCode>
                <c:ptCount val="2"/>
                <c:pt idx="0">
                  <c:v>895</c:v>
                </c:pt>
                <c:pt idx="1">
                  <c:v>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0B-464B-B3D1-911CC1E8C942}"/>
            </c:ext>
          </c:extLst>
        </c:ser>
        <c:ser>
          <c:idx val="4"/>
          <c:order val="2"/>
          <c:tx>
            <c:strRef>
              <c:f>'Historical trend ass. Lit_visua'!$A$332</c:f>
              <c:strCache>
                <c:ptCount val="1"/>
                <c:pt idx="0">
                  <c:v>transportation and storage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'Historical trend ass. Lit_visua'!$D$328:$E$328</c:f>
              <c:numCache>
                <c:formatCode>General</c:formatCode>
                <c:ptCount val="2"/>
                <c:pt idx="0">
                  <c:v>2022</c:v>
                </c:pt>
                <c:pt idx="1">
                  <c:v>2023</c:v>
                </c:pt>
              </c:numCache>
            </c:numRef>
          </c:cat>
          <c:val>
            <c:numRef>
              <c:f>'Historical trend ass. Lit_visua'!$D$332:$E$332</c:f>
              <c:numCache>
                <c:formatCode>0</c:formatCode>
                <c:ptCount val="2"/>
                <c:pt idx="0">
                  <c:v>87</c:v>
                </c:pt>
                <c:pt idx="1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0B-464B-B3D1-911CC1E8C942}"/>
            </c:ext>
          </c:extLst>
        </c:ser>
        <c:ser>
          <c:idx val="5"/>
          <c:order val="3"/>
          <c:tx>
            <c:strRef>
              <c:f>'Historical trend ass. Lit_visua'!$A$333</c:f>
              <c:strCache>
                <c:ptCount val="1"/>
                <c:pt idx="0">
                  <c:v>Food and accomodation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'Historical trend ass. Lit_visua'!$D$328:$E$328</c:f>
              <c:numCache>
                <c:formatCode>General</c:formatCode>
                <c:ptCount val="2"/>
                <c:pt idx="0">
                  <c:v>2022</c:v>
                </c:pt>
                <c:pt idx="1">
                  <c:v>2023</c:v>
                </c:pt>
              </c:numCache>
            </c:numRef>
          </c:cat>
          <c:val>
            <c:numRef>
              <c:f>'Historical trend ass. Lit_visua'!$D$333:$E$333</c:f>
              <c:numCache>
                <c:formatCode>0</c:formatCode>
                <c:ptCount val="2"/>
                <c:pt idx="0">
                  <c:v>178</c:v>
                </c:pt>
                <c:pt idx="1">
                  <c:v>205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60B-464B-B3D1-911CC1E8C942}"/>
            </c:ext>
          </c:extLst>
        </c:ser>
        <c:ser>
          <c:idx val="6"/>
          <c:order val="4"/>
          <c:tx>
            <c:strRef>
              <c:f>'Historical trend ass. Lit_visua'!$A$334</c:f>
              <c:strCache>
                <c:ptCount val="1"/>
                <c:pt idx="0">
                  <c:v>Technical and professional services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'Historical trend ass. Lit_visua'!$D$328:$E$328</c:f>
              <c:numCache>
                <c:formatCode>General</c:formatCode>
                <c:ptCount val="2"/>
                <c:pt idx="0">
                  <c:v>2022</c:v>
                </c:pt>
                <c:pt idx="1">
                  <c:v>2023</c:v>
                </c:pt>
              </c:numCache>
            </c:numRef>
          </c:cat>
          <c:val>
            <c:numRef>
              <c:f>'Historical trend ass. Lit_visua'!$D$334:$E$334</c:f>
              <c:numCache>
                <c:formatCode>0</c:formatCode>
                <c:ptCount val="2"/>
                <c:pt idx="0">
                  <c:v>1159</c:v>
                </c:pt>
                <c:pt idx="1">
                  <c:v>1073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60B-464B-B3D1-911CC1E8C942}"/>
            </c:ext>
          </c:extLst>
        </c:ser>
        <c:ser>
          <c:idx val="7"/>
          <c:order val="5"/>
          <c:tx>
            <c:strRef>
              <c:f>'Historical trend ass. Lit_visua'!$A$335</c:f>
              <c:strCache>
                <c:ptCount val="1"/>
                <c:pt idx="0">
                  <c:v>Arts, sports and recreation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'Historical trend ass. Lit_visua'!$D$328:$E$328</c:f>
              <c:numCache>
                <c:formatCode>General</c:formatCode>
                <c:ptCount val="2"/>
                <c:pt idx="0">
                  <c:v>2022</c:v>
                </c:pt>
                <c:pt idx="1">
                  <c:v>2023</c:v>
                </c:pt>
              </c:numCache>
            </c:numRef>
          </c:cat>
          <c:val>
            <c:numRef>
              <c:f>'Historical trend ass. Lit_visua'!$D$335:$E$335</c:f>
              <c:numCache>
                <c:formatCode>0</c:formatCode>
                <c:ptCount val="2"/>
                <c:pt idx="0">
                  <c:v>193</c:v>
                </c:pt>
                <c:pt idx="1">
                  <c:v>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60B-464B-B3D1-911CC1E8C9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5969696"/>
        <c:axId val="235963936"/>
      </c:barChart>
      <c:catAx>
        <c:axId val="235969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5963936"/>
        <c:crosses val="autoZero"/>
        <c:auto val="1"/>
        <c:lblAlgn val="ctr"/>
        <c:lblOffset val="100"/>
        <c:noMultiLvlLbl val="0"/>
      </c:catAx>
      <c:valAx>
        <c:axId val="235963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5969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'Historical trend ass. Lit_visua'!$C$339</c:f>
              <c:strCache>
                <c:ptCount val="1"/>
                <c:pt idx="0">
                  <c:v>Mining &amp; Quarrying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'Historical trend ass. Lit_visua'!$A$340:$A$356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'Historical trend ass. Lit_visua'!$C$340:$C$356</c:f>
              <c:numCache>
                <c:formatCode>0</c:formatCode>
                <c:ptCount val="17"/>
                <c:pt idx="0">
                  <c:v>41.7</c:v>
                </c:pt>
                <c:pt idx="1">
                  <c:v>22.796000000000003</c:v>
                </c:pt>
                <c:pt idx="2">
                  <c:v>23.630000000000003</c:v>
                </c:pt>
                <c:pt idx="3">
                  <c:v>29.468000000000004</c:v>
                </c:pt>
                <c:pt idx="4">
                  <c:v>24.742000000000001</c:v>
                </c:pt>
                <c:pt idx="5">
                  <c:v>26.966000000000001</c:v>
                </c:pt>
                <c:pt idx="6">
                  <c:v>25.576000000000001</c:v>
                </c:pt>
                <c:pt idx="7">
                  <c:v>27.244000000000003</c:v>
                </c:pt>
                <c:pt idx="8">
                  <c:v>29.19</c:v>
                </c:pt>
                <c:pt idx="9">
                  <c:v>31.136000000000003</c:v>
                </c:pt>
                <c:pt idx="10">
                  <c:v>30.580000000000002</c:v>
                </c:pt>
                <c:pt idx="11">
                  <c:v>38.92</c:v>
                </c:pt>
                <c:pt idx="12">
                  <c:v>44.202000000000005</c:v>
                </c:pt>
                <c:pt idx="13">
                  <c:v>47.538000000000004</c:v>
                </c:pt>
                <c:pt idx="14">
                  <c:v>46.426000000000002</c:v>
                </c:pt>
                <c:pt idx="15">
                  <c:v>42.256</c:v>
                </c:pt>
                <c:pt idx="16">
                  <c:v>40.588000000000001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B1-4B09-9866-D76010E41159}"/>
            </c:ext>
          </c:extLst>
        </c:ser>
        <c:ser>
          <c:idx val="1"/>
          <c:order val="1"/>
          <c:tx>
            <c:strRef>
              <c:f>'Historical trend ass. Lit_visua'!$D$339</c:f>
              <c:strCache>
                <c:ptCount val="1"/>
                <c:pt idx="0">
                  <c:v>Food &amp; Tobacco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'Historical trend ass. Lit_visua'!$A$340:$A$356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'Historical trend ass. Lit_visua'!$D$340:$D$356</c:f>
              <c:numCache>
                <c:formatCode>0</c:formatCode>
                <c:ptCount val="17"/>
                <c:pt idx="0">
                  <c:v>540.154</c:v>
                </c:pt>
                <c:pt idx="1">
                  <c:v>531.25800000000004</c:v>
                </c:pt>
                <c:pt idx="2">
                  <c:v>545.71400000000006</c:v>
                </c:pt>
                <c:pt idx="3">
                  <c:v>604.09400000000005</c:v>
                </c:pt>
                <c:pt idx="4">
                  <c:v>605.48400000000004</c:v>
                </c:pt>
                <c:pt idx="5">
                  <c:v>657.19200000000001</c:v>
                </c:pt>
                <c:pt idx="6">
                  <c:v>683.88000000000011</c:v>
                </c:pt>
                <c:pt idx="7">
                  <c:v>698.89200000000005</c:v>
                </c:pt>
                <c:pt idx="8">
                  <c:v>729.19400000000007</c:v>
                </c:pt>
                <c:pt idx="9">
                  <c:v>786.74000000000012</c:v>
                </c:pt>
                <c:pt idx="10">
                  <c:v>764.50000000000011</c:v>
                </c:pt>
                <c:pt idx="11">
                  <c:v>774.23</c:v>
                </c:pt>
                <c:pt idx="12">
                  <c:v>781.45800000000008</c:v>
                </c:pt>
                <c:pt idx="13">
                  <c:v>831.49800000000005</c:v>
                </c:pt>
                <c:pt idx="14">
                  <c:v>790.63200000000006</c:v>
                </c:pt>
                <c:pt idx="15">
                  <c:v>769.78200000000004</c:v>
                </c:pt>
                <c:pt idx="16">
                  <c:v>815.37400000000002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B1-4B09-9866-D76010E41159}"/>
            </c:ext>
          </c:extLst>
        </c:ser>
        <c:ser>
          <c:idx val="2"/>
          <c:order val="2"/>
          <c:tx>
            <c:strRef>
              <c:f>'Historical trend ass. Lit_visua'!$E$339</c:f>
              <c:strCache>
                <c:ptCount val="1"/>
                <c:pt idx="0">
                  <c:v>Textiles &amp; Leather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'Historical trend ass. Lit_visua'!$A$340:$A$356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'Historical trend ass. Lit_visua'!$E$340:$E$356</c:f>
              <c:numCache>
                <c:formatCode>0</c:formatCode>
                <c:ptCount val="17"/>
                <c:pt idx="0">
                  <c:v>158.18200000000002</c:v>
                </c:pt>
                <c:pt idx="1">
                  <c:v>204.05200000000002</c:v>
                </c:pt>
                <c:pt idx="2">
                  <c:v>160.12800000000001</c:v>
                </c:pt>
                <c:pt idx="3">
                  <c:v>147.34</c:v>
                </c:pt>
                <c:pt idx="4">
                  <c:v>155.40200000000002</c:v>
                </c:pt>
                <c:pt idx="5">
                  <c:v>150.39800000000002</c:v>
                </c:pt>
                <c:pt idx="6">
                  <c:v>144.83800000000002</c:v>
                </c:pt>
                <c:pt idx="7">
                  <c:v>158.18200000000002</c:v>
                </c:pt>
                <c:pt idx="8">
                  <c:v>168.19000000000003</c:v>
                </c:pt>
                <c:pt idx="9">
                  <c:v>163.46400000000003</c:v>
                </c:pt>
                <c:pt idx="10">
                  <c:v>159.01600000000002</c:v>
                </c:pt>
                <c:pt idx="11">
                  <c:v>150.95400000000001</c:v>
                </c:pt>
                <c:pt idx="12">
                  <c:v>132.60600000000002</c:v>
                </c:pt>
                <c:pt idx="13">
                  <c:v>154.012</c:v>
                </c:pt>
                <c:pt idx="14">
                  <c:v>151.23200000000003</c:v>
                </c:pt>
                <c:pt idx="15">
                  <c:v>136.77600000000001</c:v>
                </c:pt>
                <c:pt idx="16">
                  <c:v>175.97400000000002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AB1-4B09-9866-D76010E41159}"/>
            </c:ext>
          </c:extLst>
        </c:ser>
        <c:ser>
          <c:idx val="3"/>
          <c:order val="3"/>
          <c:tx>
            <c:strRef>
              <c:f>'Historical trend ass. Lit_visua'!$F$339</c:f>
              <c:strCache>
                <c:ptCount val="1"/>
                <c:pt idx="0">
                  <c:v>Wood Products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'Historical trend ass. Lit_visua'!$A$340:$A$356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'Historical trend ass. Lit_visua'!$F$340:$F$356</c:f>
              <c:numCache>
                <c:formatCode>0</c:formatCode>
                <c:ptCount val="17"/>
                <c:pt idx="0">
                  <c:v>282.726</c:v>
                </c:pt>
                <c:pt idx="1">
                  <c:v>234.35400000000001</c:v>
                </c:pt>
                <c:pt idx="2">
                  <c:v>250.47800000000001</c:v>
                </c:pt>
                <c:pt idx="3">
                  <c:v>219.06400000000002</c:v>
                </c:pt>
                <c:pt idx="4">
                  <c:v>274.94200000000001</c:v>
                </c:pt>
                <c:pt idx="5">
                  <c:v>261.04200000000003</c:v>
                </c:pt>
                <c:pt idx="6">
                  <c:v>299.68400000000003</c:v>
                </c:pt>
                <c:pt idx="7">
                  <c:v>343.33000000000004</c:v>
                </c:pt>
                <c:pt idx="8">
                  <c:v>366.40400000000005</c:v>
                </c:pt>
                <c:pt idx="9">
                  <c:v>365.29200000000003</c:v>
                </c:pt>
                <c:pt idx="10">
                  <c:v>356.11800000000005</c:v>
                </c:pt>
                <c:pt idx="11">
                  <c:v>370.57400000000001</c:v>
                </c:pt>
                <c:pt idx="12">
                  <c:v>383.08400000000006</c:v>
                </c:pt>
                <c:pt idx="13">
                  <c:v>405.60200000000003</c:v>
                </c:pt>
                <c:pt idx="14">
                  <c:v>372.24200000000002</c:v>
                </c:pt>
                <c:pt idx="15">
                  <c:v>365.57000000000005</c:v>
                </c:pt>
                <c:pt idx="16">
                  <c:v>388.64400000000006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AB1-4B09-9866-D76010E41159}"/>
            </c:ext>
          </c:extLst>
        </c:ser>
        <c:ser>
          <c:idx val="4"/>
          <c:order val="4"/>
          <c:tx>
            <c:strRef>
              <c:f>'Historical trend ass. Lit_visua'!$G$339</c:f>
              <c:strCache>
                <c:ptCount val="1"/>
                <c:pt idx="0">
                  <c:v>Paper &amp; Printing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'Historical trend ass. Lit_visua'!$A$340:$A$356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'Historical trend ass. Lit_visua'!$G$340:$G$356</c:f>
              <c:numCache>
                <c:formatCode>0</c:formatCode>
                <c:ptCount val="17"/>
                <c:pt idx="0">
                  <c:v>98.690000000000012</c:v>
                </c:pt>
                <c:pt idx="1">
                  <c:v>110.64400000000001</c:v>
                </c:pt>
                <c:pt idx="2">
                  <c:v>236.57800000000003</c:v>
                </c:pt>
                <c:pt idx="3">
                  <c:v>160.96200000000002</c:v>
                </c:pt>
                <c:pt idx="4">
                  <c:v>127.04600000000001</c:v>
                </c:pt>
                <c:pt idx="5">
                  <c:v>150.12</c:v>
                </c:pt>
                <c:pt idx="6">
                  <c:v>155.95800000000003</c:v>
                </c:pt>
                <c:pt idx="7">
                  <c:v>162.352</c:v>
                </c:pt>
                <c:pt idx="8">
                  <c:v>157.07000000000002</c:v>
                </c:pt>
                <c:pt idx="9">
                  <c:v>191.54200000000003</c:v>
                </c:pt>
                <c:pt idx="10">
                  <c:v>176.80800000000002</c:v>
                </c:pt>
                <c:pt idx="11">
                  <c:v>199.04800000000003</c:v>
                </c:pt>
                <c:pt idx="12">
                  <c:v>187.92800000000003</c:v>
                </c:pt>
                <c:pt idx="13">
                  <c:v>232.13000000000002</c:v>
                </c:pt>
                <c:pt idx="14">
                  <c:v>212.67000000000002</c:v>
                </c:pt>
                <c:pt idx="15">
                  <c:v>207.11</c:v>
                </c:pt>
                <c:pt idx="16">
                  <c:v>215.72800000000001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AB1-4B09-9866-D76010E41159}"/>
            </c:ext>
          </c:extLst>
        </c:ser>
        <c:ser>
          <c:idx val="5"/>
          <c:order val="5"/>
          <c:tx>
            <c:strRef>
              <c:f>'Historical trend ass. Lit_visua'!$H$339</c:f>
              <c:strCache>
                <c:ptCount val="1"/>
                <c:pt idx="0">
                  <c:v>Chemicals &amp; Pharma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'Historical trend ass. Lit_visua'!$A$340:$A$356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'Historical trend ass. Lit_visua'!$H$340:$H$356</c:f>
              <c:numCache>
                <c:formatCode>0</c:formatCode>
                <c:ptCount val="17"/>
                <c:pt idx="0">
                  <c:v>736.42200000000003</c:v>
                </c:pt>
                <c:pt idx="1">
                  <c:v>624.11</c:v>
                </c:pt>
                <c:pt idx="2">
                  <c:v>680.5440000000001</c:v>
                </c:pt>
                <c:pt idx="3">
                  <c:v>770.33800000000008</c:v>
                </c:pt>
                <c:pt idx="4">
                  <c:v>786.18400000000008</c:v>
                </c:pt>
                <c:pt idx="5">
                  <c:v>730.58400000000006</c:v>
                </c:pt>
                <c:pt idx="6">
                  <c:v>750.32200000000012</c:v>
                </c:pt>
                <c:pt idx="7">
                  <c:v>713.34800000000007</c:v>
                </c:pt>
                <c:pt idx="8">
                  <c:v>746.9860000000001</c:v>
                </c:pt>
                <c:pt idx="9">
                  <c:v>832.05400000000009</c:v>
                </c:pt>
                <c:pt idx="10">
                  <c:v>805.3660000000001</c:v>
                </c:pt>
                <c:pt idx="11">
                  <c:v>807.59</c:v>
                </c:pt>
                <c:pt idx="12">
                  <c:v>827.88400000000013</c:v>
                </c:pt>
                <c:pt idx="13">
                  <c:v>803.14200000000005</c:v>
                </c:pt>
                <c:pt idx="14">
                  <c:v>607.9860000000001</c:v>
                </c:pt>
                <c:pt idx="15">
                  <c:v>586.85800000000006</c:v>
                </c:pt>
                <c:pt idx="16">
                  <c:v>590.19400000000007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AB1-4B09-9866-D76010E41159}"/>
            </c:ext>
          </c:extLst>
        </c:ser>
        <c:ser>
          <c:idx val="6"/>
          <c:order val="6"/>
          <c:tx>
            <c:strRef>
              <c:f>'Historical trend ass. Lit_visua'!$I$339</c:f>
              <c:strCache>
                <c:ptCount val="1"/>
                <c:pt idx="0">
                  <c:v>Rubber &amp; Plastics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'Historical trend ass. Lit_visua'!$A$340:$A$356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'Historical trend ass. Lit_visua'!$I$340:$I$356</c:f>
              <c:numCache>
                <c:formatCode>0</c:formatCode>
                <c:ptCount val="17"/>
                <c:pt idx="0">
                  <c:v>189.04000000000002</c:v>
                </c:pt>
                <c:pt idx="1">
                  <c:v>187.92800000000003</c:v>
                </c:pt>
                <c:pt idx="2">
                  <c:v>180.42200000000003</c:v>
                </c:pt>
                <c:pt idx="3">
                  <c:v>214.06000000000003</c:v>
                </c:pt>
                <c:pt idx="4">
                  <c:v>198.21400000000003</c:v>
                </c:pt>
                <c:pt idx="5">
                  <c:v>217.67400000000001</c:v>
                </c:pt>
                <c:pt idx="6">
                  <c:v>235.18800000000002</c:v>
                </c:pt>
                <c:pt idx="7">
                  <c:v>302.46400000000006</c:v>
                </c:pt>
                <c:pt idx="8">
                  <c:v>323.87</c:v>
                </c:pt>
                <c:pt idx="9">
                  <c:v>332.48800000000006</c:v>
                </c:pt>
                <c:pt idx="10">
                  <c:v>350.55800000000005</c:v>
                </c:pt>
                <c:pt idx="11">
                  <c:v>347.22200000000004</c:v>
                </c:pt>
                <c:pt idx="12">
                  <c:v>358.06400000000002</c:v>
                </c:pt>
                <c:pt idx="13">
                  <c:v>328.596</c:v>
                </c:pt>
                <c:pt idx="14">
                  <c:v>326.37200000000001</c:v>
                </c:pt>
                <c:pt idx="15">
                  <c:v>315.25200000000001</c:v>
                </c:pt>
                <c:pt idx="16">
                  <c:v>340.55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AB1-4B09-9866-D76010E41159}"/>
            </c:ext>
          </c:extLst>
        </c:ser>
        <c:ser>
          <c:idx val="7"/>
          <c:order val="7"/>
          <c:tx>
            <c:strRef>
              <c:f>'Historical trend ass. Lit_visua'!$J$339</c:f>
              <c:strCache>
                <c:ptCount val="1"/>
                <c:pt idx="0">
                  <c:v>Non-metallic Minerals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'Historical trend ass. Lit_visua'!$A$340:$A$356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'Historical trend ass. Lit_visua'!$J$340:$J$356</c:f>
              <c:numCache>
                <c:formatCode>0</c:formatCode>
                <c:ptCount val="17"/>
                <c:pt idx="0">
                  <c:v>251.59000000000003</c:v>
                </c:pt>
                <c:pt idx="1">
                  <c:v>159.29400000000001</c:v>
                </c:pt>
                <c:pt idx="2">
                  <c:v>185.14800000000002</c:v>
                </c:pt>
                <c:pt idx="3">
                  <c:v>200.16000000000003</c:v>
                </c:pt>
                <c:pt idx="4">
                  <c:v>222.40000000000003</c:v>
                </c:pt>
                <c:pt idx="5">
                  <c:v>247.97600000000003</c:v>
                </c:pt>
                <c:pt idx="6">
                  <c:v>257.70600000000002</c:v>
                </c:pt>
                <c:pt idx="7">
                  <c:v>242.97200000000001</c:v>
                </c:pt>
                <c:pt idx="8">
                  <c:v>252.14600000000002</c:v>
                </c:pt>
                <c:pt idx="9">
                  <c:v>244.08400000000003</c:v>
                </c:pt>
                <c:pt idx="10">
                  <c:v>284.11600000000004</c:v>
                </c:pt>
                <c:pt idx="11">
                  <c:v>264.37800000000004</c:v>
                </c:pt>
                <c:pt idx="12">
                  <c:v>260.76400000000001</c:v>
                </c:pt>
                <c:pt idx="13">
                  <c:v>277.44400000000002</c:v>
                </c:pt>
                <c:pt idx="14">
                  <c:v>281.33600000000001</c:v>
                </c:pt>
                <c:pt idx="15">
                  <c:v>269.38200000000001</c:v>
                </c:pt>
                <c:pt idx="16">
                  <c:v>271.32800000000003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AB1-4B09-9866-D76010E41159}"/>
            </c:ext>
          </c:extLst>
        </c:ser>
        <c:ser>
          <c:idx val="8"/>
          <c:order val="8"/>
          <c:tx>
            <c:strRef>
              <c:f>'Historical trend ass. Lit_visua'!$K$339</c:f>
              <c:strCache>
                <c:ptCount val="1"/>
                <c:pt idx="0">
                  <c:v>Metals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'Historical trend ass. Lit_visua'!$A$340:$A$356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'Historical trend ass. Lit_visua'!$K$340:$K$356</c:f>
              <c:numCache>
                <c:formatCode>0</c:formatCode>
                <c:ptCount val="17"/>
                <c:pt idx="0">
                  <c:v>19.182000000000002</c:v>
                </c:pt>
                <c:pt idx="1">
                  <c:v>22.240000000000002</c:v>
                </c:pt>
                <c:pt idx="2">
                  <c:v>19.46</c:v>
                </c:pt>
                <c:pt idx="3">
                  <c:v>21.128</c:v>
                </c:pt>
                <c:pt idx="4">
                  <c:v>23.908000000000001</c:v>
                </c:pt>
                <c:pt idx="5">
                  <c:v>20.85</c:v>
                </c:pt>
                <c:pt idx="6">
                  <c:v>20.016000000000002</c:v>
                </c:pt>
                <c:pt idx="7">
                  <c:v>19.182000000000002</c:v>
                </c:pt>
                <c:pt idx="8">
                  <c:v>19.46</c:v>
                </c:pt>
                <c:pt idx="9">
                  <c:v>19.182000000000002</c:v>
                </c:pt>
                <c:pt idx="10">
                  <c:v>16.68</c:v>
                </c:pt>
                <c:pt idx="11">
                  <c:v>11.676000000000002</c:v>
                </c:pt>
                <c:pt idx="12">
                  <c:v>10.564</c:v>
                </c:pt>
                <c:pt idx="13">
                  <c:v>16.124000000000002</c:v>
                </c:pt>
                <c:pt idx="14">
                  <c:v>13.900000000000002</c:v>
                </c:pt>
                <c:pt idx="15">
                  <c:v>15.846000000000002</c:v>
                </c:pt>
                <c:pt idx="16">
                  <c:v>20.016000000000002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AB1-4B09-9866-D76010E41159}"/>
            </c:ext>
          </c:extLst>
        </c:ser>
        <c:ser>
          <c:idx val="9"/>
          <c:order val="9"/>
          <c:tx>
            <c:strRef>
              <c:f>'Historical trend ass. Lit_visua'!$L$339</c:f>
              <c:strCache>
                <c:ptCount val="1"/>
                <c:pt idx="0">
                  <c:v>Fabricated Metals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'Historical trend ass. Lit_visua'!$A$340:$A$356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'Historical trend ass. Lit_visua'!$L$340:$L$356</c:f>
              <c:numCache>
                <c:formatCode>0</c:formatCode>
                <c:ptCount val="17"/>
                <c:pt idx="0">
                  <c:v>59.214000000000006</c:v>
                </c:pt>
                <c:pt idx="1">
                  <c:v>43.09</c:v>
                </c:pt>
                <c:pt idx="2">
                  <c:v>54.210000000000008</c:v>
                </c:pt>
                <c:pt idx="3">
                  <c:v>66.164000000000001</c:v>
                </c:pt>
                <c:pt idx="4">
                  <c:v>88.404000000000011</c:v>
                </c:pt>
                <c:pt idx="5">
                  <c:v>74.226000000000013</c:v>
                </c:pt>
                <c:pt idx="6">
                  <c:v>83.956000000000003</c:v>
                </c:pt>
                <c:pt idx="7">
                  <c:v>86.736000000000004</c:v>
                </c:pt>
                <c:pt idx="8">
                  <c:v>95.910000000000011</c:v>
                </c:pt>
                <c:pt idx="9">
                  <c:v>148.17400000000001</c:v>
                </c:pt>
                <c:pt idx="10">
                  <c:v>124.82200000000002</c:v>
                </c:pt>
                <c:pt idx="11">
                  <c:v>122.04200000000002</c:v>
                </c:pt>
                <c:pt idx="12">
                  <c:v>121.76400000000001</c:v>
                </c:pt>
                <c:pt idx="13">
                  <c:v>145.67200000000003</c:v>
                </c:pt>
                <c:pt idx="14">
                  <c:v>141.50200000000001</c:v>
                </c:pt>
                <c:pt idx="15">
                  <c:v>133.16200000000001</c:v>
                </c:pt>
                <c:pt idx="16">
                  <c:v>150.12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AB1-4B09-9866-D76010E41159}"/>
            </c:ext>
          </c:extLst>
        </c:ser>
        <c:ser>
          <c:idx val="10"/>
          <c:order val="10"/>
          <c:tx>
            <c:strRef>
              <c:f>'Historical trend ass. Lit_visua'!$M$339</c:f>
              <c:strCache>
                <c:ptCount val="1"/>
                <c:pt idx="0">
                  <c:v>Machinery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'Historical trend ass. Lit_visua'!$A$340:$A$356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'Historical trend ass. Lit_visua'!$M$340:$M$356</c:f>
              <c:numCache>
                <c:formatCode>0</c:formatCode>
                <c:ptCount val="17"/>
                <c:pt idx="0">
                  <c:v>29.19</c:v>
                </c:pt>
                <c:pt idx="1">
                  <c:v>23.908000000000001</c:v>
                </c:pt>
                <c:pt idx="2">
                  <c:v>25.576000000000001</c:v>
                </c:pt>
                <c:pt idx="3">
                  <c:v>30.302000000000003</c:v>
                </c:pt>
                <c:pt idx="4">
                  <c:v>44.480000000000004</c:v>
                </c:pt>
                <c:pt idx="5">
                  <c:v>44.202000000000005</c:v>
                </c:pt>
                <c:pt idx="6">
                  <c:v>30.024000000000001</c:v>
                </c:pt>
                <c:pt idx="7">
                  <c:v>29.19</c:v>
                </c:pt>
                <c:pt idx="8">
                  <c:v>35.306000000000004</c:v>
                </c:pt>
                <c:pt idx="9">
                  <c:v>33.638000000000005</c:v>
                </c:pt>
                <c:pt idx="10">
                  <c:v>32.804000000000002</c:v>
                </c:pt>
                <c:pt idx="11">
                  <c:v>115.37</c:v>
                </c:pt>
                <c:pt idx="12">
                  <c:v>31.970000000000002</c:v>
                </c:pt>
                <c:pt idx="13">
                  <c:v>35.584000000000003</c:v>
                </c:pt>
                <c:pt idx="14">
                  <c:v>37.252000000000002</c:v>
                </c:pt>
                <c:pt idx="15">
                  <c:v>36.696000000000005</c:v>
                </c:pt>
                <c:pt idx="16">
                  <c:v>35.028000000000006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AB1-4B09-9866-D76010E41159}"/>
            </c:ext>
          </c:extLst>
        </c:ser>
        <c:ser>
          <c:idx val="11"/>
          <c:order val="11"/>
          <c:tx>
            <c:strRef>
              <c:f>'Historical trend ass. Lit_visua'!$N$339</c:f>
              <c:strCache>
                <c:ptCount val="1"/>
                <c:pt idx="0">
                  <c:v>Transport Equipment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'Historical trend ass. Lit_visua'!$A$340:$A$356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'Historical trend ass. Lit_visua'!$N$340:$N$356</c:f>
              <c:numCache>
                <c:formatCode>0</c:formatCode>
                <c:ptCount val="17"/>
                <c:pt idx="0">
                  <c:v>42.812000000000005</c:v>
                </c:pt>
                <c:pt idx="1">
                  <c:v>36.696000000000005</c:v>
                </c:pt>
                <c:pt idx="2">
                  <c:v>30.580000000000002</c:v>
                </c:pt>
                <c:pt idx="3">
                  <c:v>26.410000000000004</c:v>
                </c:pt>
                <c:pt idx="4">
                  <c:v>19.738000000000003</c:v>
                </c:pt>
                <c:pt idx="5">
                  <c:v>18.904000000000003</c:v>
                </c:pt>
                <c:pt idx="6">
                  <c:v>25.854000000000003</c:v>
                </c:pt>
                <c:pt idx="7">
                  <c:v>29.746000000000002</c:v>
                </c:pt>
                <c:pt idx="8">
                  <c:v>23.630000000000003</c:v>
                </c:pt>
                <c:pt idx="9">
                  <c:v>23.074000000000002</c:v>
                </c:pt>
                <c:pt idx="10">
                  <c:v>31.970000000000002</c:v>
                </c:pt>
                <c:pt idx="11">
                  <c:v>26.410000000000004</c:v>
                </c:pt>
                <c:pt idx="12">
                  <c:v>49.484000000000002</c:v>
                </c:pt>
                <c:pt idx="13">
                  <c:v>55.878000000000007</c:v>
                </c:pt>
                <c:pt idx="14">
                  <c:v>52.820000000000007</c:v>
                </c:pt>
                <c:pt idx="15">
                  <c:v>56.99</c:v>
                </c:pt>
                <c:pt idx="16">
                  <c:v>63.662000000000006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AB1-4B09-9866-D76010E41159}"/>
            </c:ext>
          </c:extLst>
        </c:ser>
        <c:ser>
          <c:idx val="12"/>
          <c:order val="12"/>
          <c:tx>
            <c:strRef>
              <c:f>'Historical trend ass. Lit_visua'!$O$339</c:f>
              <c:strCache>
                <c:ptCount val="1"/>
                <c:pt idx="0">
                  <c:v>Furniture &amp; Other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'Historical trend ass. Lit_visua'!$A$340:$A$356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'Historical trend ass. Lit_visua'!$O$340:$O$356</c:f>
              <c:numCache>
                <c:formatCode>0</c:formatCode>
                <c:ptCount val="17"/>
                <c:pt idx="0">
                  <c:v>170.69200000000001</c:v>
                </c:pt>
                <c:pt idx="1">
                  <c:v>103.694</c:v>
                </c:pt>
                <c:pt idx="2">
                  <c:v>128.99200000000002</c:v>
                </c:pt>
                <c:pt idx="3">
                  <c:v>149.286</c:v>
                </c:pt>
                <c:pt idx="4">
                  <c:v>199.04800000000003</c:v>
                </c:pt>
                <c:pt idx="5">
                  <c:v>231.01800000000003</c:v>
                </c:pt>
                <c:pt idx="6">
                  <c:v>254.64800000000002</c:v>
                </c:pt>
                <c:pt idx="7">
                  <c:v>312.19400000000002</c:v>
                </c:pt>
                <c:pt idx="8">
                  <c:v>270.21600000000001</c:v>
                </c:pt>
                <c:pt idx="9">
                  <c:v>266.04600000000005</c:v>
                </c:pt>
                <c:pt idx="10">
                  <c:v>336.38000000000005</c:v>
                </c:pt>
                <c:pt idx="11">
                  <c:v>352.50400000000002</c:v>
                </c:pt>
                <c:pt idx="12">
                  <c:v>331.93200000000002</c:v>
                </c:pt>
                <c:pt idx="13">
                  <c:v>370.29600000000005</c:v>
                </c:pt>
                <c:pt idx="14">
                  <c:v>351.67</c:v>
                </c:pt>
                <c:pt idx="15">
                  <c:v>345.55400000000003</c:v>
                </c:pt>
                <c:pt idx="16">
                  <c:v>229.35000000000002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AB1-4B09-9866-D76010E411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39876864"/>
        <c:axId val="2039868224"/>
      </c:barChart>
      <c:catAx>
        <c:axId val="2039876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39868224"/>
        <c:crosses val="autoZero"/>
        <c:auto val="1"/>
        <c:lblAlgn val="ctr"/>
        <c:lblOffset val="100"/>
        <c:noMultiLvlLbl val="0"/>
      </c:catAx>
      <c:valAx>
        <c:axId val="2039868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39876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2"/>
          <c:order val="0"/>
          <c:tx>
            <c:strRef>
              <c:f>'Historical trend ass. Lit_visua'!$C$300</c:f>
              <c:strCache>
                <c:ptCount val="1"/>
                <c:pt idx="0">
                  <c:v>Rail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'Historical trend ass. Lit_visua'!$A$301:$A$324</c:f>
              <c:numCache>
                <c:formatCode>General</c:formatCod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numCache>
            </c:numRef>
          </c:cat>
          <c:val>
            <c:numRef>
              <c:f>'Historical trend ass. Lit_visua'!$C$301:$C$324</c:f>
              <c:numCache>
                <c:formatCode>General</c:formatCode>
                <c:ptCount val="24"/>
                <c:pt idx="0">
                  <c:v>7</c:v>
                </c:pt>
                <c:pt idx="1">
                  <c:v>6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10</c:v>
                </c:pt>
                <c:pt idx="9">
                  <c:v>11</c:v>
                </c:pt>
                <c:pt idx="10">
                  <c:v>11</c:v>
                </c:pt>
                <c:pt idx="11">
                  <c:v>10</c:v>
                </c:pt>
                <c:pt idx="12">
                  <c:v>11</c:v>
                </c:pt>
                <c:pt idx="13">
                  <c:v>10</c:v>
                </c:pt>
                <c:pt idx="14">
                  <c:v>11</c:v>
                </c:pt>
                <c:pt idx="15">
                  <c:v>11</c:v>
                </c:pt>
                <c:pt idx="16">
                  <c:v>12</c:v>
                </c:pt>
                <c:pt idx="17">
                  <c:v>12</c:v>
                </c:pt>
                <c:pt idx="18">
                  <c:v>17</c:v>
                </c:pt>
                <c:pt idx="19">
                  <c:v>15</c:v>
                </c:pt>
                <c:pt idx="20">
                  <c:v>13</c:v>
                </c:pt>
                <c:pt idx="21">
                  <c:v>12</c:v>
                </c:pt>
                <c:pt idx="22">
                  <c:v>13</c:v>
                </c:pt>
                <c:pt idx="23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1A-4F2B-BFF0-7D8FDE8ED215}"/>
            </c:ext>
          </c:extLst>
        </c:ser>
        <c:ser>
          <c:idx val="3"/>
          <c:order val="1"/>
          <c:tx>
            <c:strRef>
              <c:f>'Historical trend ass. Lit_visua'!$D$300</c:f>
              <c:strCache>
                <c:ptCount val="1"/>
                <c:pt idx="0">
                  <c:v>Road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'Historical trend ass. Lit_visua'!$A$301:$A$324</c:f>
              <c:numCache>
                <c:formatCode>General</c:formatCod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numCache>
            </c:numRef>
          </c:cat>
          <c:val>
            <c:numRef>
              <c:f>'Historical trend ass. Lit_visua'!$D$301:$D$324</c:f>
              <c:numCache>
                <c:formatCode>General</c:formatCode>
                <c:ptCount val="24"/>
                <c:pt idx="0">
                  <c:v>43</c:v>
                </c:pt>
                <c:pt idx="1">
                  <c:v>44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48</c:v>
                </c:pt>
                <c:pt idx="6">
                  <c:v>50</c:v>
                </c:pt>
                <c:pt idx="7">
                  <c:v>48</c:v>
                </c:pt>
                <c:pt idx="8">
                  <c:v>47</c:v>
                </c:pt>
                <c:pt idx="9">
                  <c:v>44</c:v>
                </c:pt>
                <c:pt idx="10">
                  <c:v>39</c:v>
                </c:pt>
                <c:pt idx="11">
                  <c:v>38</c:v>
                </c:pt>
                <c:pt idx="12">
                  <c:v>41</c:v>
                </c:pt>
                <c:pt idx="13">
                  <c:v>40</c:v>
                </c:pt>
                <c:pt idx="14">
                  <c:v>35</c:v>
                </c:pt>
                <c:pt idx="15">
                  <c:v>35</c:v>
                </c:pt>
                <c:pt idx="16">
                  <c:v>36</c:v>
                </c:pt>
                <c:pt idx="17">
                  <c:v>36</c:v>
                </c:pt>
                <c:pt idx="18">
                  <c:v>37</c:v>
                </c:pt>
                <c:pt idx="19">
                  <c:v>37</c:v>
                </c:pt>
                <c:pt idx="20">
                  <c:v>41</c:v>
                </c:pt>
                <c:pt idx="21">
                  <c:v>47</c:v>
                </c:pt>
                <c:pt idx="22">
                  <c:v>58</c:v>
                </c:pt>
                <c:pt idx="23">
                  <c:v>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1A-4F2B-BFF0-7D8FDE8ED215}"/>
            </c:ext>
          </c:extLst>
        </c:ser>
        <c:ser>
          <c:idx val="4"/>
          <c:order val="2"/>
          <c:tx>
            <c:strRef>
              <c:f>'Historical trend ass. Lit_visua'!$E$300</c:f>
              <c:strCache>
                <c:ptCount val="1"/>
                <c:pt idx="0">
                  <c:v>Pipeline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'Historical trend ass. Lit_visua'!$A$301:$A$324</c:f>
              <c:numCache>
                <c:formatCode>General</c:formatCod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numCache>
            </c:numRef>
          </c:cat>
          <c:val>
            <c:numRef>
              <c:f>'Historical trend ass. Lit_visua'!$E$301:$E$324</c:f>
              <c:numCache>
                <c:formatCode>General</c:formatCode>
                <c:ptCount val="24"/>
                <c:pt idx="0">
                  <c:v>26</c:v>
                </c:pt>
                <c:pt idx="1">
                  <c:v>40</c:v>
                </c:pt>
                <c:pt idx="2">
                  <c:v>30</c:v>
                </c:pt>
                <c:pt idx="3">
                  <c:v>37</c:v>
                </c:pt>
                <c:pt idx="4">
                  <c:v>38</c:v>
                </c:pt>
                <c:pt idx="5">
                  <c:v>47</c:v>
                </c:pt>
                <c:pt idx="6">
                  <c:v>33</c:v>
                </c:pt>
                <c:pt idx="7">
                  <c:v>14</c:v>
                </c:pt>
                <c:pt idx="8">
                  <c:v>26</c:v>
                </c:pt>
                <c:pt idx="9">
                  <c:v>22</c:v>
                </c:pt>
                <c:pt idx="10">
                  <c:v>26</c:v>
                </c:pt>
                <c:pt idx="11">
                  <c:v>26</c:v>
                </c:pt>
                <c:pt idx="12">
                  <c:v>23</c:v>
                </c:pt>
                <c:pt idx="13">
                  <c:v>24</c:v>
                </c:pt>
                <c:pt idx="14">
                  <c:v>17</c:v>
                </c:pt>
                <c:pt idx="15">
                  <c:v>21</c:v>
                </c:pt>
                <c:pt idx="16">
                  <c:v>24</c:v>
                </c:pt>
                <c:pt idx="17">
                  <c:v>26</c:v>
                </c:pt>
                <c:pt idx="18">
                  <c:v>27</c:v>
                </c:pt>
                <c:pt idx="19">
                  <c:v>25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1A-4F2B-BFF0-7D8FDE8ED2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1491647"/>
        <c:axId val="201492127"/>
      </c:barChart>
      <c:catAx>
        <c:axId val="2014916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492127"/>
        <c:crosses val="autoZero"/>
        <c:auto val="1"/>
        <c:lblAlgn val="ctr"/>
        <c:lblOffset val="100"/>
        <c:noMultiLvlLbl val="0"/>
      </c:catAx>
      <c:valAx>
        <c:axId val="201492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4916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'Historical trend ass. Lit_visua'!$A$381</c:f>
              <c:strCache>
                <c:ptCount val="1"/>
                <c:pt idx="0">
                  <c:v>% of electricity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'Historical trend ass. Lit_visua'!$B$380:$M$380</c:f>
              <c:strCach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strCache>
            </c:strRef>
          </c:cat>
          <c:val>
            <c:numRef>
              <c:f>'Historical trend ass. Lit_visua'!$B$381:$M$381</c:f>
              <c:numCache>
                <c:formatCode>0.0%</c:formatCode>
                <c:ptCount val="12"/>
                <c:pt idx="0">
                  <c:v>0</c:v>
                </c:pt>
                <c:pt idx="1">
                  <c:v>1E-3</c:v>
                </c:pt>
                <c:pt idx="2">
                  <c:v>2E-3</c:v>
                </c:pt>
                <c:pt idx="3">
                  <c:v>4.0000000000000001E-3</c:v>
                </c:pt>
                <c:pt idx="4">
                  <c:v>2E-3</c:v>
                </c:pt>
                <c:pt idx="5">
                  <c:v>7.0000000000000001E-3</c:v>
                </c:pt>
                <c:pt idx="6">
                  <c:v>7.0000000000000001E-3</c:v>
                </c:pt>
                <c:pt idx="7">
                  <c:v>1.2E-2</c:v>
                </c:pt>
                <c:pt idx="8">
                  <c:v>4.4999999999999998E-2</c:v>
                </c:pt>
                <c:pt idx="9">
                  <c:v>6.2E-2</c:v>
                </c:pt>
                <c:pt idx="10">
                  <c:v>8.2000000000000003E-2</c:v>
                </c:pt>
                <c:pt idx="11">
                  <c:v>6.7000000000000004E-2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19-41B5-8E57-F3C025A437FF}"/>
            </c:ext>
          </c:extLst>
        </c:ser>
        <c:ser>
          <c:idx val="1"/>
          <c:order val="1"/>
          <c:tx>
            <c:strRef>
              <c:f>'Historical trend ass. Lit_visua'!$A$382</c:f>
              <c:strCache>
                <c:ptCount val="1"/>
                <c:pt idx="0">
                  <c:v>% of electric hybrid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'Historical trend ass. Lit_visua'!$B$380:$M$380</c:f>
              <c:strCach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strCache>
            </c:strRef>
          </c:cat>
          <c:val>
            <c:numRef>
              <c:f>'Historical trend ass. Lit_visua'!$B$382:$M$382</c:f>
              <c:numCache>
                <c:formatCode>0.0%</c:formatCode>
                <c:ptCount val="12"/>
                <c:pt idx="0">
                  <c:v>4.0000000000000001E-3</c:v>
                </c:pt>
                <c:pt idx="1">
                  <c:v>7.0000000000000001E-3</c:v>
                </c:pt>
                <c:pt idx="2">
                  <c:v>7.0000000000000001E-3</c:v>
                </c:pt>
                <c:pt idx="3">
                  <c:v>1.4E-2</c:v>
                </c:pt>
                <c:pt idx="4">
                  <c:v>2.5999999999999999E-2</c:v>
                </c:pt>
                <c:pt idx="5">
                  <c:v>0.106</c:v>
                </c:pt>
                <c:pt idx="6">
                  <c:v>0.125</c:v>
                </c:pt>
                <c:pt idx="7">
                  <c:v>0.19600000000000001</c:v>
                </c:pt>
                <c:pt idx="8">
                  <c:v>0.36799999999999999</c:v>
                </c:pt>
                <c:pt idx="9">
                  <c:v>0.39600000000000002</c:v>
                </c:pt>
                <c:pt idx="10">
                  <c:v>0.42799999999999999</c:v>
                </c:pt>
                <c:pt idx="11">
                  <c:v>0.53100000000000003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19-41B5-8E57-F3C025A437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53413664"/>
        <c:axId val="1853417984"/>
      </c:lineChart>
      <c:catAx>
        <c:axId val="1853413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3417984"/>
        <c:crosses val="autoZero"/>
        <c:auto val="1"/>
        <c:lblAlgn val="ctr"/>
        <c:lblOffset val="100"/>
        <c:noMultiLvlLbl val="0"/>
      </c:catAx>
      <c:valAx>
        <c:axId val="1853417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3413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'Historical trend ass. Lit_visua'!$A$374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'Historical trend ass. Lit_visua'!$B$373:$M$373</c:f>
              <c:strCach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strCache>
            </c:strRef>
          </c:cat>
          <c:val>
            <c:numRef>
              <c:f>'Historical trend ass. Lit_visua'!$B$374:$M$374</c:f>
              <c:numCache>
                <c:formatCode>#,##0</c:formatCode>
                <c:ptCount val="12"/>
                <c:pt idx="0">
                  <c:v>12257</c:v>
                </c:pt>
                <c:pt idx="1">
                  <c:v>11699</c:v>
                </c:pt>
                <c:pt idx="2">
                  <c:v>13757</c:v>
                </c:pt>
                <c:pt idx="3">
                  <c:v>16402</c:v>
                </c:pt>
                <c:pt idx="4">
                  <c:v>19083</c:v>
                </c:pt>
                <c:pt idx="5">
                  <c:v>21678</c:v>
                </c:pt>
                <c:pt idx="6">
                  <c:v>25609</c:v>
                </c:pt>
                <c:pt idx="7">
                  <c:v>40878</c:v>
                </c:pt>
                <c:pt idx="8">
                  <c:v>28209</c:v>
                </c:pt>
                <c:pt idx="9">
                  <c:v>24115</c:v>
                </c:pt>
                <c:pt idx="10">
                  <c:v>26866</c:v>
                </c:pt>
                <c:pt idx="11">
                  <c:v>27857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B5-428B-870B-42749E9DF51B}"/>
            </c:ext>
          </c:extLst>
        </c:ser>
        <c:ser>
          <c:idx val="1"/>
          <c:order val="1"/>
          <c:tx>
            <c:strRef>
              <c:f>'Historical trend ass. Lit_visua'!$A$375</c:f>
              <c:strCache>
                <c:ptCount val="1"/>
                <c:pt idx="0">
                  <c:v>Electricity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'Historical trend ass. Lit_visua'!$B$373:$M$373</c:f>
              <c:strCach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strCache>
            </c:strRef>
          </c:cat>
          <c:val>
            <c:numRef>
              <c:f>'Historical trend ass. Lit_visua'!$B$375:$M$375</c:f>
              <c:numCache>
                <c:formatCode>#,##0</c:formatCode>
                <c:ptCount val="12"/>
                <c:pt idx="0">
                  <c:v>2</c:v>
                </c:pt>
                <c:pt idx="1">
                  <c:v>8</c:v>
                </c:pt>
                <c:pt idx="2">
                  <c:v>26</c:v>
                </c:pt>
                <c:pt idx="3">
                  <c:v>62</c:v>
                </c:pt>
                <c:pt idx="4">
                  <c:v>43</c:v>
                </c:pt>
                <c:pt idx="5">
                  <c:v>141</c:v>
                </c:pt>
                <c:pt idx="6">
                  <c:v>175</c:v>
                </c:pt>
                <c:pt idx="7">
                  <c:v>480</c:v>
                </c:pt>
                <c:pt idx="8">
                  <c:v>1277</c:v>
                </c:pt>
                <c:pt idx="9">
                  <c:v>1507</c:v>
                </c:pt>
                <c:pt idx="10">
                  <c:v>2210</c:v>
                </c:pt>
                <c:pt idx="11">
                  <c:v>1877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B5-428B-870B-42749E9DF51B}"/>
            </c:ext>
          </c:extLst>
        </c:ser>
        <c:ser>
          <c:idx val="2"/>
          <c:order val="2"/>
          <c:tx>
            <c:strRef>
              <c:f>'Historical trend ass. Lit_visua'!$A$376</c:f>
              <c:strCache>
                <c:ptCount val="1"/>
                <c:pt idx="0">
                  <c:v>Electric Hybrid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'Historical trend ass. Lit_visua'!$B$373:$M$373</c:f>
              <c:strCach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strCache>
            </c:strRef>
          </c:cat>
          <c:val>
            <c:numRef>
              <c:f>'Historical trend ass. Lit_visua'!$B$376:$M$376</c:f>
              <c:numCache>
                <c:formatCode>#,##0</c:formatCode>
                <c:ptCount val="12"/>
                <c:pt idx="0">
                  <c:v>45</c:v>
                </c:pt>
                <c:pt idx="1">
                  <c:v>84</c:v>
                </c:pt>
                <c:pt idx="2">
                  <c:v>94</c:v>
                </c:pt>
                <c:pt idx="3">
                  <c:v>235</c:v>
                </c:pt>
                <c:pt idx="4">
                  <c:v>501</c:v>
                </c:pt>
                <c:pt idx="5">
                  <c:v>2304</c:v>
                </c:pt>
                <c:pt idx="6">
                  <c:v>3202</c:v>
                </c:pt>
                <c:pt idx="7">
                  <c:v>8003</c:v>
                </c:pt>
                <c:pt idx="8">
                  <c:v>10385</c:v>
                </c:pt>
                <c:pt idx="9">
                  <c:v>9543</c:v>
                </c:pt>
                <c:pt idx="10">
                  <c:v>11499</c:v>
                </c:pt>
                <c:pt idx="11">
                  <c:v>14793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B5-428B-870B-42749E9DF5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1236960"/>
        <c:axId val="431229760"/>
      </c:barChart>
      <c:catAx>
        <c:axId val="431236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1229760"/>
        <c:crosses val="autoZero"/>
        <c:auto val="1"/>
        <c:lblAlgn val="ctr"/>
        <c:lblOffset val="100"/>
        <c:noMultiLvlLbl val="0"/>
      </c:catAx>
      <c:valAx>
        <c:axId val="431229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No.</a:t>
                </a:r>
                <a:r>
                  <a:rPr lang="en-US" baseline="0"/>
                  <a:t> of new cars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1236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None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80">
              <a:noFill/>
            </a:ln>
          </c:spPr>
          <c:marker>
            <c:symbol val="circle"/>
            <c:size val="5"/>
            <c:spPr>
              <a:solidFill>
                <a:srgbClr val="4472C4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EST_FEC!$A$71:$A$81</c:f>
              <c:numCache>
                <c:formatCode>General</c:formatCode>
                <c:ptCount val="11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</c:numCache>
            </c:numRef>
          </c:xVal>
          <c:yVal>
            <c:numRef>
              <c:f>EST_FEC!$E$71:$E$81</c:f>
              <c:numCache>
                <c:formatCode>0.000</c:formatCode>
                <c:ptCount val="11"/>
                <c:pt idx="0">
                  <c:v>5.6401656145326298</c:v>
                </c:pt>
                <c:pt idx="1">
                  <c:v>4.9170896605080179</c:v>
                </c:pt>
                <c:pt idx="2">
                  <c:v>4.7431185185692826</c:v>
                </c:pt>
                <c:pt idx="3">
                  <c:v>4.0510842406667757</c:v>
                </c:pt>
                <c:pt idx="4">
                  <c:v>4.1196836508606109</c:v>
                </c:pt>
                <c:pt idx="5">
                  <c:v>4.2884227746557775</c:v>
                </c:pt>
                <c:pt idx="6">
                  <c:v>4.0367748071436118</c:v>
                </c:pt>
                <c:pt idx="7">
                  <c:v>3.5766719417498378</c:v>
                </c:pt>
                <c:pt idx="8">
                  <c:v>3.3562193812647174</c:v>
                </c:pt>
                <c:pt idx="9">
                  <c:v>3.1348644987670786</c:v>
                </c:pt>
                <c:pt idx="10">
                  <c:v>2.8721326261966609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904-48FB-8255-4ADAACC1CC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910692"/>
        <c:axId val="65047181"/>
      </c:scatterChart>
      <c:valAx>
        <c:axId val="69910692"/>
        <c:scaling>
          <c:orientation val="minMax"/>
        </c:scaling>
        <c:delete val="0"/>
        <c:axPos val="b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BFBFBF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65047181"/>
        <c:crosses val="autoZero"/>
        <c:crossBetween val="midCat"/>
      </c:valAx>
      <c:valAx>
        <c:axId val="65047181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0.000" sourceLinked="0"/>
        <c:majorTickMark val="none"/>
        <c:minorTickMark val="none"/>
        <c:tickLblPos val="nextTo"/>
        <c:spPr>
          <a:ln w="9360">
            <a:solidFill>
              <a:srgbClr val="BFBFBF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69910692"/>
        <c:crosses val="autoZero"/>
        <c:crossBetween val="midCat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None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EST_FEC!$B$57</c:f>
              <c:strCache>
                <c:ptCount val="1"/>
                <c:pt idx="0">
                  <c:v>Industry FEC GWh</c:v>
                </c:pt>
              </c:strCache>
            </c:strRef>
          </c:tx>
          <c:spPr>
            <a:ln w="28440" cap="rnd">
              <a:solidFill>
                <a:srgbClr val="4472C4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EST_FEC!$A$58:$A$108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EST_FEC!$B$58:$B$108</c:f>
              <c:numCache>
                <c:formatCode>0</c:formatCode>
                <c:ptCount val="51"/>
                <c:pt idx="0">
                  <c:v>6747</c:v>
                </c:pt>
                <c:pt idx="1">
                  <c:v>7485</c:v>
                </c:pt>
                <c:pt idx="2">
                  <c:v>6803</c:v>
                </c:pt>
                <c:pt idx="3">
                  <c:v>7730</c:v>
                </c:pt>
                <c:pt idx="4">
                  <c:v>7937</c:v>
                </c:pt>
                <c:pt idx="5">
                  <c:v>8268</c:v>
                </c:pt>
                <c:pt idx="6">
                  <c:v>7968</c:v>
                </c:pt>
                <c:pt idx="7">
                  <c:v>8790</c:v>
                </c:pt>
                <c:pt idx="8">
                  <c:v>8518</c:v>
                </c:pt>
                <c:pt idx="9">
                  <c:v>6167</c:v>
                </c:pt>
                <c:pt idx="10">
                  <c:v>6723</c:v>
                </c:pt>
                <c:pt idx="11">
                  <c:v>6822</c:v>
                </c:pt>
                <c:pt idx="12">
                  <c:v>6570</c:v>
                </c:pt>
                <c:pt idx="13">
                  <c:v>7446</c:v>
                </c:pt>
                <c:pt idx="14">
                  <c:v>6470</c:v>
                </c:pt>
                <c:pt idx="15">
                  <c:v>6229</c:v>
                </c:pt>
                <c:pt idx="16">
                  <c:v>5331</c:v>
                </c:pt>
                <c:pt idx="17">
                  <c:v>5420</c:v>
                </c:pt>
                <c:pt idx="18">
                  <c:v>5657</c:v>
                </c:pt>
                <c:pt idx="19">
                  <c:v>5348</c:v>
                </c:pt>
                <c:pt idx="20">
                  <c:v>4753</c:v>
                </c:pt>
                <c:pt idx="21">
                  <c:v>4464</c:v>
                </c:pt>
                <c:pt idx="22">
                  <c:v>4175</c:v>
                </c:pt>
                <c:pt idx="23">
                  <c:v>3923</c:v>
                </c:pt>
                <c:pt idx="24">
                  <c:v>3948.283383508408</c:v>
                </c:pt>
                <c:pt idx="25">
                  <c:v>3934.8073372262929</c:v>
                </c:pt>
                <c:pt idx="26">
                  <c:v>3914.5846514052428</c:v>
                </c:pt>
                <c:pt idx="27">
                  <c:v>3925.3178110293393</c:v>
                </c:pt>
                <c:pt idx="28">
                  <c:v>3913.8493854529365</c:v>
                </c:pt>
                <c:pt idx="29">
                  <c:v>3902.7428485874339</c:v>
                </c:pt>
                <c:pt idx="30">
                  <c:v>3893.1413092180583</c:v>
                </c:pt>
                <c:pt idx="31">
                  <c:v>3884.3927932386632</c:v>
                </c:pt>
                <c:pt idx="32">
                  <c:v>3876.2617857739006</c:v>
                </c:pt>
                <c:pt idx="33">
                  <c:v>3868.7540310890222</c:v>
                </c:pt>
                <c:pt idx="34">
                  <c:v>3861.9499488975625</c:v>
                </c:pt>
                <c:pt idx="35">
                  <c:v>3855.9385753109327</c:v>
                </c:pt>
                <c:pt idx="36">
                  <c:v>3851.3316745785137</c:v>
                </c:pt>
                <c:pt idx="37">
                  <c:v>3846.8597640795251</c:v>
                </c:pt>
                <c:pt idx="38">
                  <c:v>3842.588902864371</c:v>
                </c:pt>
                <c:pt idx="39">
                  <c:v>3838.4760089436572</c:v>
                </c:pt>
                <c:pt idx="40">
                  <c:v>3834.4578953996083</c:v>
                </c:pt>
                <c:pt idx="41">
                  <c:v>3830.4886081102045</c:v>
                </c:pt>
                <c:pt idx="42">
                  <c:v>3826.4389011072672</c:v>
                </c:pt>
                <c:pt idx="43">
                  <c:v>3822.262820268777</c:v>
                </c:pt>
                <c:pt idx="44">
                  <c:v>3817.8742016159486</c:v>
                </c:pt>
                <c:pt idx="45">
                  <c:v>3813.2787894140338</c:v>
                </c:pt>
                <c:pt idx="46">
                  <c:v>3808.4248852757614</c:v>
                </c:pt>
                <c:pt idx="47">
                  <c:v>3803.2780236096173</c:v>
                </c:pt>
                <c:pt idx="48">
                  <c:v>3797.8180994872173</c:v>
                </c:pt>
                <c:pt idx="49">
                  <c:v>3791.9876702560382</c:v>
                </c:pt>
                <c:pt idx="50">
                  <c:v>3785.720676865677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C9-4F9F-B08F-D027577258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14908295"/>
        <c:axId val="5591768"/>
      </c:lineChart>
      <c:catAx>
        <c:axId val="14908295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5591768"/>
        <c:crosses val="autoZero"/>
        <c:auto val="1"/>
        <c:lblAlgn val="ctr"/>
        <c:lblOffset val="100"/>
        <c:noMultiLvlLbl val="0"/>
      </c:catAx>
      <c:valAx>
        <c:axId val="5591768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648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1490829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None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EST_FEC!$B$110</c:f>
              <c:strCache>
                <c:ptCount val="1"/>
                <c:pt idx="0">
                  <c:v>Buildings FEC GWh</c:v>
                </c:pt>
              </c:strCache>
            </c:strRef>
          </c:tx>
          <c:spPr>
            <a:ln w="28440" cap="rnd">
              <a:solidFill>
                <a:srgbClr val="4472C4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EST_FEC!$A$111:$A$161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EST_FEC!$B$111:$B$161</c:f>
              <c:numCache>
                <c:formatCode>0</c:formatCode>
                <c:ptCount val="51"/>
                <c:pt idx="0">
                  <c:v>14133</c:v>
                </c:pt>
                <c:pt idx="1">
                  <c:v>14462</c:v>
                </c:pt>
                <c:pt idx="2">
                  <c:v>14135</c:v>
                </c:pt>
                <c:pt idx="3">
                  <c:v>14689</c:v>
                </c:pt>
                <c:pt idx="4">
                  <c:v>15152</c:v>
                </c:pt>
                <c:pt idx="5">
                  <c:v>14866</c:v>
                </c:pt>
                <c:pt idx="6">
                  <c:v>14869</c:v>
                </c:pt>
                <c:pt idx="7">
                  <c:v>15950</c:v>
                </c:pt>
                <c:pt idx="8">
                  <c:v>16111</c:v>
                </c:pt>
                <c:pt idx="9">
                  <c:v>16153</c:v>
                </c:pt>
                <c:pt idx="10">
                  <c:v>16879</c:v>
                </c:pt>
                <c:pt idx="11">
                  <c:v>15558</c:v>
                </c:pt>
                <c:pt idx="12">
                  <c:v>16220</c:v>
                </c:pt>
                <c:pt idx="13">
                  <c:v>15720</c:v>
                </c:pt>
                <c:pt idx="14">
                  <c:v>15653</c:v>
                </c:pt>
                <c:pt idx="15">
                  <c:v>15387</c:v>
                </c:pt>
                <c:pt idx="16">
                  <c:v>16619</c:v>
                </c:pt>
                <c:pt idx="17">
                  <c:v>16415</c:v>
                </c:pt>
                <c:pt idx="18">
                  <c:v>16649</c:v>
                </c:pt>
                <c:pt idx="19">
                  <c:v>16441</c:v>
                </c:pt>
                <c:pt idx="20">
                  <c:v>16423</c:v>
                </c:pt>
                <c:pt idx="21">
                  <c:v>17179</c:v>
                </c:pt>
                <c:pt idx="22">
                  <c:v>16514</c:v>
                </c:pt>
                <c:pt idx="23">
                  <c:v>15085</c:v>
                </c:pt>
                <c:pt idx="24">
                  <c:v>15243.849178995924</c:v>
                </c:pt>
                <c:pt idx="25">
                  <c:v>15253.486445633022</c:v>
                </c:pt>
                <c:pt idx="26">
                  <c:v>15236.690912534172</c:v>
                </c:pt>
                <c:pt idx="27">
                  <c:v>15340.485848568718</c:v>
                </c:pt>
                <c:pt idx="28">
                  <c:v>15357.754437625741</c:v>
                </c:pt>
                <c:pt idx="29">
                  <c:v>15376.336250901173</c:v>
                </c:pt>
                <c:pt idx="30">
                  <c:v>15400.769445001237</c:v>
                </c:pt>
                <c:pt idx="31">
                  <c:v>15428.535788970255</c:v>
                </c:pt>
                <c:pt idx="32">
                  <c:v>15458.736447514839</c:v>
                </c:pt>
                <c:pt idx="33">
                  <c:v>15491.423723718661</c:v>
                </c:pt>
                <c:pt idx="34">
                  <c:v>15526.95076475715</c:v>
                </c:pt>
                <c:pt idx="35">
                  <c:v>15565.71099265086</c:v>
                </c:pt>
                <c:pt idx="36">
                  <c:v>15610.222663523216</c:v>
                </c:pt>
                <c:pt idx="37">
                  <c:v>15655.388583572405</c:v>
                </c:pt>
                <c:pt idx="38">
                  <c:v>15701.485489561732</c:v>
                </c:pt>
                <c:pt idx="39">
                  <c:v>15748.346775058624</c:v>
                </c:pt>
                <c:pt idx="40">
                  <c:v>15795.720223752305</c:v>
                </c:pt>
                <c:pt idx="41">
                  <c:v>15843.420733839606</c:v>
                </c:pt>
                <c:pt idx="42">
                  <c:v>15890.914250894573</c:v>
                </c:pt>
                <c:pt idx="43">
                  <c:v>15938.005334114221</c:v>
                </c:pt>
                <c:pt idx="44">
                  <c:v>15984.327051341457</c:v>
                </c:pt>
                <c:pt idx="45">
                  <c:v>16029.892915798153</c:v>
                </c:pt>
                <c:pt idx="46">
                  <c:v>16074.474292408244</c:v>
                </c:pt>
                <c:pt idx="47">
                  <c:v>16117.911947448209</c:v>
                </c:pt>
                <c:pt idx="48">
                  <c:v>16160.105273020565</c:v>
                </c:pt>
                <c:pt idx="49">
                  <c:v>16200.792627570849</c:v>
                </c:pt>
                <c:pt idx="50">
                  <c:v>16305.591397796441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95-40AB-AC2A-FB4A860DDA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18476427"/>
        <c:axId val="74413902"/>
      </c:lineChart>
      <c:catAx>
        <c:axId val="18476427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74413902"/>
        <c:crosses val="autoZero"/>
        <c:auto val="1"/>
        <c:lblAlgn val="ctr"/>
        <c:lblOffset val="100"/>
        <c:noMultiLvlLbl val="0"/>
      </c:catAx>
      <c:valAx>
        <c:axId val="74413902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648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1847642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None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EST_FEC!$B$163</c:f>
              <c:strCache>
                <c:ptCount val="1"/>
                <c:pt idx="0">
                  <c:v>Transport FEC GWh</c:v>
                </c:pt>
              </c:strCache>
            </c:strRef>
          </c:tx>
          <c:spPr>
            <a:ln w="28440" cap="rnd">
              <a:solidFill>
                <a:srgbClr val="4472C4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EST_FEC!$A$164:$A$214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EST_FEC!$B$164:$B$214</c:f>
              <c:numCache>
                <c:formatCode>0</c:formatCode>
                <c:ptCount val="51"/>
                <c:pt idx="0">
                  <c:v>7732</c:v>
                </c:pt>
                <c:pt idx="1">
                  <c:v>7875</c:v>
                </c:pt>
                <c:pt idx="2">
                  <c:v>7843</c:v>
                </c:pt>
                <c:pt idx="3">
                  <c:v>8131</c:v>
                </c:pt>
                <c:pt idx="4">
                  <c:v>8303</c:v>
                </c:pt>
                <c:pt idx="5">
                  <c:v>9269</c:v>
                </c:pt>
                <c:pt idx="6">
                  <c:v>9391</c:v>
                </c:pt>
                <c:pt idx="7">
                  <c:v>9518</c:v>
                </c:pt>
                <c:pt idx="8">
                  <c:v>8387</c:v>
                </c:pt>
                <c:pt idx="9">
                  <c:v>8843</c:v>
                </c:pt>
                <c:pt idx="10">
                  <c:v>8746</c:v>
                </c:pt>
                <c:pt idx="11">
                  <c:v>8767</c:v>
                </c:pt>
                <c:pt idx="12">
                  <c:v>8684</c:v>
                </c:pt>
                <c:pt idx="13">
                  <c:v>9080</c:v>
                </c:pt>
                <c:pt idx="14">
                  <c:v>8870</c:v>
                </c:pt>
                <c:pt idx="15">
                  <c:v>9078</c:v>
                </c:pt>
                <c:pt idx="16">
                  <c:v>9364</c:v>
                </c:pt>
                <c:pt idx="17">
                  <c:v>9716</c:v>
                </c:pt>
                <c:pt idx="18">
                  <c:v>9688</c:v>
                </c:pt>
                <c:pt idx="19">
                  <c:v>9212</c:v>
                </c:pt>
                <c:pt idx="20">
                  <c:v>9562</c:v>
                </c:pt>
                <c:pt idx="21">
                  <c:v>9326</c:v>
                </c:pt>
                <c:pt idx="22">
                  <c:v>9838</c:v>
                </c:pt>
                <c:pt idx="23">
                  <c:v>9909</c:v>
                </c:pt>
                <c:pt idx="24">
                  <c:v>10026.190917472137</c:v>
                </c:pt>
                <c:pt idx="25">
                  <c:v>10045.400592901144</c:v>
                </c:pt>
                <c:pt idx="26">
                  <c:v>10047.213026134041</c:v>
                </c:pt>
                <c:pt idx="27">
                  <c:v>10128.634048460361</c:v>
                </c:pt>
                <c:pt idx="28">
                  <c:v>10153.044693901214</c:v>
                </c:pt>
                <c:pt idx="29">
                  <c:v>10178.370592043821</c:v>
                </c:pt>
                <c:pt idx="30">
                  <c:v>10207.623054517402</c:v>
                </c:pt>
                <c:pt idx="31">
                  <c:v>10239.14586658575</c:v>
                </c:pt>
                <c:pt idx="32">
                  <c:v>10272.350366194394</c:v>
                </c:pt>
                <c:pt idx="33">
                  <c:v>10307.277691771729</c:v>
                </c:pt>
                <c:pt idx="34">
                  <c:v>10344.169601050578</c:v>
                </c:pt>
                <c:pt idx="35">
                  <c:v>10383.295941460177</c:v>
                </c:pt>
                <c:pt idx="36">
                  <c:v>10426.347140810783</c:v>
                </c:pt>
                <c:pt idx="37">
                  <c:v>10469.929258995515</c:v>
                </c:pt>
                <c:pt idx="38">
                  <c:v>10514.229460771159</c:v>
                </c:pt>
                <c:pt idx="39">
                  <c:v>10559.138608453077</c:v>
                </c:pt>
                <c:pt idx="40">
                  <c:v>10604.489523171136</c:v>
                </c:pt>
                <c:pt idx="41">
                  <c:v>10650.1592777407</c:v>
                </c:pt>
                <c:pt idx="42">
                  <c:v>10695.789438579339</c:v>
                </c:pt>
                <c:pt idx="43">
                  <c:v>10741.247934950721</c:v>
                </c:pt>
                <c:pt idx="44">
                  <c:v>10786.286296080434</c:v>
                </c:pt>
                <c:pt idx="45">
                  <c:v>10830.911833550832</c:v>
                </c:pt>
                <c:pt idx="46">
                  <c:v>10874.968078814851</c:v>
                </c:pt>
                <c:pt idx="47">
                  <c:v>10918.344777582757</c:v>
                </c:pt>
                <c:pt idx="48">
                  <c:v>10960.970880082927</c:v>
                </c:pt>
                <c:pt idx="49">
                  <c:v>11002.665614002059</c:v>
                </c:pt>
                <c:pt idx="50">
                  <c:v>11102.271215268844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E2-43F2-AC57-484CCA10C8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28072865"/>
        <c:axId val="5969236"/>
      </c:lineChart>
      <c:catAx>
        <c:axId val="28072865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5969236"/>
        <c:crosses val="autoZero"/>
        <c:auto val="1"/>
        <c:lblAlgn val="ctr"/>
        <c:lblOffset val="100"/>
        <c:noMultiLvlLbl val="0"/>
      </c:catAx>
      <c:valAx>
        <c:axId val="5969236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648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2807286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lang="en-US" sz="1400" b="0" strike="noStrike" spc="-1">
                <a:solidFill>
                  <a:srgbClr val="595959"/>
                </a:solidFill>
                <a:latin typeface="Calibri"/>
              </a:defRPr>
            </a:pPr>
            <a:r>
              <a:rPr lang="en-US" sz="1400" b="0" strike="noStrike" spc="-1">
                <a:solidFill>
                  <a:srgbClr val="595959"/>
                </a:solidFill>
                <a:latin typeface="Calibri"/>
              </a:rPr>
              <a:t>Estonia FEC Sectors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EST_FEC!$B$2</c:f>
              <c:strCache>
                <c:ptCount val="1"/>
                <c:pt idx="0">
                  <c:v>Industry</c:v>
                </c:pt>
              </c:strCache>
            </c:strRef>
          </c:tx>
          <c:spPr>
            <a:ln w="28440" cap="rnd">
              <a:solidFill>
                <a:srgbClr val="4472C4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EST_FEC!$A$3:$A$53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EST_FEC!$B$3:$B$53</c:f>
              <c:numCache>
                <c:formatCode>0</c:formatCode>
                <c:ptCount val="51"/>
                <c:pt idx="0">
                  <c:v>6747</c:v>
                </c:pt>
                <c:pt idx="1">
                  <c:v>7485</c:v>
                </c:pt>
                <c:pt idx="2">
                  <c:v>6803</c:v>
                </c:pt>
                <c:pt idx="3">
                  <c:v>7730</c:v>
                </c:pt>
                <c:pt idx="4">
                  <c:v>7937</c:v>
                </c:pt>
                <c:pt idx="5">
                  <c:v>8268</c:v>
                </c:pt>
                <c:pt idx="6">
                  <c:v>7968</c:v>
                </c:pt>
                <c:pt idx="7">
                  <c:v>8790</c:v>
                </c:pt>
                <c:pt idx="8">
                  <c:v>8518</c:v>
                </c:pt>
                <c:pt idx="9">
                  <c:v>6167</c:v>
                </c:pt>
                <c:pt idx="10">
                  <c:v>6723</c:v>
                </c:pt>
                <c:pt idx="11">
                  <c:v>6822</c:v>
                </c:pt>
                <c:pt idx="12">
                  <c:v>6570</c:v>
                </c:pt>
                <c:pt idx="13">
                  <c:v>7446</c:v>
                </c:pt>
                <c:pt idx="14">
                  <c:v>6470</c:v>
                </c:pt>
                <c:pt idx="15">
                  <c:v>6229</c:v>
                </c:pt>
                <c:pt idx="16">
                  <c:v>5331</c:v>
                </c:pt>
                <c:pt idx="17">
                  <c:v>5420</c:v>
                </c:pt>
                <c:pt idx="18">
                  <c:v>5657</c:v>
                </c:pt>
                <c:pt idx="19">
                  <c:v>5348</c:v>
                </c:pt>
                <c:pt idx="20">
                  <c:v>4753</c:v>
                </c:pt>
                <c:pt idx="21">
                  <c:v>4464</c:v>
                </c:pt>
                <c:pt idx="22">
                  <c:v>4175</c:v>
                </c:pt>
                <c:pt idx="23">
                  <c:v>3923</c:v>
                </c:pt>
                <c:pt idx="24">
                  <c:v>3948.283383508408</c:v>
                </c:pt>
                <c:pt idx="25">
                  <c:v>3934.8073372262929</c:v>
                </c:pt>
                <c:pt idx="26">
                  <c:v>3914.5846514052428</c:v>
                </c:pt>
                <c:pt idx="27">
                  <c:v>3925.3178110293393</c:v>
                </c:pt>
                <c:pt idx="28">
                  <c:v>3913.8493854529365</c:v>
                </c:pt>
                <c:pt idx="29">
                  <c:v>3902.7428485874339</c:v>
                </c:pt>
                <c:pt idx="30">
                  <c:v>3893.1413092180583</c:v>
                </c:pt>
                <c:pt idx="31">
                  <c:v>3884.3927932386632</c:v>
                </c:pt>
                <c:pt idx="32">
                  <c:v>3876.2617857739006</c:v>
                </c:pt>
                <c:pt idx="33">
                  <c:v>3868.7540310890222</c:v>
                </c:pt>
                <c:pt idx="34">
                  <c:v>3861.9499488975625</c:v>
                </c:pt>
                <c:pt idx="35">
                  <c:v>3855.9385753109327</c:v>
                </c:pt>
                <c:pt idx="36">
                  <c:v>3851.3316745785137</c:v>
                </c:pt>
                <c:pt idx="37">
                  <c:v>3846.8597640795251</c:v>
                </c:pt>
                <c:pt idx="38">
                  <c:v>3842.588902864371</c:v>
                </c:pt>
                <c:pt idx="39">
                  <c:v>3838.4760089436572</c:v>
                </c:pt>
                <c:pt idx="40">
                  <c:v>3834.4578953996083</c:v>
                </c:pt>
                <c:pt idx="41">
                  <c:v>3830.4886081102045</c:v>
                </c:pt>
                <c:pt idx="42">
                  <c:v>3826.4389011072672</c:v>
                </c:pt>
                <c:pt idx="43">
                  <c:v>3822.262820268777</c:v>
                </c:pt>
                <c:pt idx="44">
                  <c:v>3817.8742016159486</c:v>
                </c:pt>
                <c:pt idx="45">
                  <c:v>3813.2787894140338</c:v>
                </c:pt>
                <c:pt idx="46">
                  <c:v>3808.4248852757614</c:v>
                </c:pt>
                <c:pt idx="47">
                  <c:v>3803.2780236096173</c:v>
                </c:pt>
                <c:pt idx="48">
                  <c:v>3797.8180994872173</c:v>
                </c:pt>
                <c:pt idx="49">
                  <c:v>3791.9876702560382</c:v>
                </c:pt>
                <c:pt idx="50">
                  <c:v>3785.720676865677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43-409D-AC16-05411585B505}"/>
            </c:ext>
          </c:extLst>
        </c:ser>
        <c:ser>
          <c:idx val="1"/>
          <c:order val="1"/>
          <c:tx>
            <c:strRef>
              <c:f>EST_FEC!$C$2</c:f>
              <c:strCache>
                <c:ptCount val="1"/>
                <c:pt idx="0">
                  <c:v>Buildings</c:v>
                </c:pt>
              </c:strCache>
            </c:strRef>
          </c:tx>
          <c:spPr>
            <a:ln w="28440" cap="rnd">
              <a:solidFill>
                <a:srgbClr val="ED7D31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EST_FEC!$A$3:$A$53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EST_FEC!$C$3:$C$53</c:f>
              <c:numCache>
                <c:formatCode>0</c:formatCode>
                <c:ptCount val="51"/>
                <c:pt idx="0">
                  <c:v>14133</c:v>
                </c:pt>
                <c:pt idx="1">
                  <c:v>14462</c:v>
                </c:pt>
                <c:pt idx="2">
                  <c:v>14135</c:v>
                </c:pt>
                <c:pt idx="3">
                  <c:v>14689</c:v>
                </c:pt>
                <c:pt idx="4">
                  <c:v>15152</c:v>
                </c:pt>
                <c:pt idx="5">
                  <c:v>14866</c:v>
                </c:pt>
                <c:pt idx="6">
                  <c:v>14869</c:v>
                </c:pt>
                <c:pt idx="7">
                  <c:v>15950</c:v>
                </c:pt>
                <c:pt idx="8">
                  <c:v>16111</c:v>
                </c:pt>
                <c:pt idx="9">
                  <c:v>16153</c:v>
                </c:pt>
                <c:pt idx="10">
                  <c:v>16879</c:v>
                </c:pt>
                <c:pt idx="11">
                  <c:v>15558</c:v>
                </c:pt>
                <c:pt idx="12">
                  <c:v>16220</c:v>
                </c:pt>
                <c:pt idx="13">
                  <c:v>15720</c:v>
                </c:pt>
                <c:pt idx="14">
                  <c:v>15653</c:v>
                </c:pt>
                <c:pt idx="15">
                  <c:v>15387</c:v>
                </c:pt>
                <c:pt idx="16">
                  <c:v>16619</c:v>
                </c:pt>
                <c:pt idx="17">
                  <c:v>16415</c:v>
                </c:pt>
                <c:pt idx="18">
                  <c:v>16649</c:v>
                </c:pt>
                <c:pt idx="19">
                  <c:v>16441</c:v>
                </c:pt>
                <c:pt idx="20">
                  <c:v>16423</c:v>
                </c:pt>
                <c:pt idx="21">
                  <c:v>17179</c:v>
                </c:pt>
                <c:pt idx="22">
                  <c:v>16514</c:v>
                </c:pt>
                <c:pt idx="23">
                  <c:v>15085</c:v>
                </c:pt>
                <c:pt idx="24">
                  <c:v>15243.849178995924</c:v>
                </c:pt>
                <c:pt idx="25">
                  <c:v>15253.486445633022</c:v>
                </c:pt>
                <c:pt idx="26">
                  <c:v>15236.690912534172</c:v>
                </c:pt>
                <c:pt idx="27">
                  <c:v>15340.485848568718</c:v>
                </c:pt>
                <c:pt idx="28">
                  <c:v>15357.754437625741</c:v>
                </c:pt>
                <c:pt idx="29">
                  <c:v>15376.336250901173</c:v>
                </c:pt>
                <c:pt idx="30">
                  <c:v>15400.769445001237</c:v>
                </c:pt>
                <c:pt idx="31">
                  <c:v>15428.535788970255</c:v>
                </c:pt>
                <c:pt idx="32">
                  <c:v>15458.736447514839</c:v>
                </c:pt>
                <c:pt idx="33">
                  <c:v>15491.423723718661</c:v>
                </c:pt>
                <c:pt idx="34">
                  <c:v>15526.95076475715</c:v>
                </c:pt>
                <c:pt idx="35">
                  <c:v>15565.71099265086</c:v>
                </c:pt>
                <c:pt idx="36">
                  <c:v>15610.222663523216</c:v>
                </c:pt>
                <c:pt idx="37">
                  <c:v>15655.388583572405</c:v>
                </c:pt>
                <c:pt idx="38">
                  <c:v>15701.485489561732</c:v>
                </c:pt>
                <c:pt idx="39">
                  <c:v>15748.346775058624</c:v>
                </c:pt>
                <c:pt idx="40">
                  <c:v>15795.720223752305</c:v>
                </c:pt>
                <c:pt idx="41">
                  <c:v>15843.420733839606</c:v>
                </c:pt>
                <c:pt idx="42">
                  <c:v>15890.914250894573</c:v>
                </c:pt>
                <c:pt idx="43">
                  <c:v>15938.005334114221</c:v>
                </c:pt>
                <c:pt idx="44">
                  <c:v>15984.327051341457</c:v>
                </c:pt>
                <c:pt idx="45">
                  <c:v>16029.892915798153</c:v>
                </c:pt>
                <c:pt idx="46">
                  <c:v>16074.474292408244</c:v>
                </c:pt>
                <c:pt idx="47">
                  <c:v>16117.911947448209</c:v>
                </c:pt>
                <c:pt idx="48">
                  <c:v>16160.105273020565</c:v>
                </c:pt>
                <c:pt idx="49">
                  <c:v>16200.792627570849</c:v>
                </c:pt>
                <c:pt idx="50">
                  <c:v>16305.591397796441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43-409D-AC16-05411585B505}"/>
            </c:ext>
          </c:extLst>
        </c:ser>
        <c:ser>
          <c:idx val="2"/>
          <c:order val="2"/>
          <c:tx>
            <c:strRef>
              <c:f>EST_FEC!$D$2</c:f>
              <c:strCache>
                <c:ptCount val="1"/>
                <c:pt idx="0">
                  <c:v>Transport</c:v>
                </c:pt>
              </c:strCache>
            </c:strRef>
          </c:tx>
          <c:spPr>
            <a:ln w="28440" cap="rnd">
              <a:solidFill>
                <a:srgbClr val="A5A5A5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EST_FEC!$A$3:$A$53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EST_FEC!$D$3:$D$53</c:f>
              <c:numCache>
                <c:formatCode>0</c:formatCode>
                <c:ptCount val="51"/>
                <c:pt idx="0">
                  <c:v>7732</c:v>
                </c:pt>
                <c:pt idx="1">
                  <c:v>7875</c:v>
                </c:pt>
                <c:pt idx="2">
                  <c:v>7843</c:v>
                </c:pt>
                <c:pt idx="3">
                  <c:v>8131</c:v>
                </c:pt>
                <c:pt idx="4">
                  <c:v>8303</c:v>
                </c:pt>
                <c:pt idx="5">
                  <c:v>9269</c:v>
                </c:pt>
                <c:pt idx="6">
                  <c:v>9391</c:v>
                </c:pt>
                <c:pt idx="7">
                  <c:v>9518</c:v>
                </c:pt>
                <c:pt idx="8">
                  <c:v>8387</c:v>
                </c:pt>
                <c:pt idx="9">
                  <c:v>8843</c:v>
                </c:pt>
                <c:pt idx="10">
                  <c:v>8746</c:v>
                </c:pt>
                <c:pt idx="11">
                  <c:v>8767</c:v>
                </c:pt>
                <c:pt idx="12">
                  <c:v>8684</c:v>
                </c:pt>
                <c:pt idx="13">
                  <c:v>9080</c:v>
                </c:pt>
                <c:pt idx="14">
                  <c:v>8870</c:v>
                </c:pt>
                <c:pt idx="15">
                  <c:v>9078</c:v>
                </c:pt>
                <c:pt idx="16">
                  <c:v>9364</c:v>
                </c:pt>
                <c:pt idx="17">
                  <c:v>9716</c:v>
                </c:pt>
                <c:pt idx="18">
                  <c:v>9688</c:v>
                </c:pt>
                <c:pt idx="19">
                  <c:v>9212</c:v>
                </c:pt>
                <c:pt idx="20">
                  <c:v>9562</c:v>
                </c:pt>
                <c:pt idx="21">
                  <c:v>9326</c:v>
                </c:pt>
                <c:pt idx="22">
                  <c:v>9838</c:v>
                </c:pt>
                <c:pt idx="23">
                  <c:v>9909</c:v>
                </c:pt>
                <c:pt idx="24">
                  <c:v>10026.190917472137</c:v>
                </c:pt>
                <c:pt idx="25">
                  <c:v>10045.400592901144</c:v>
                </c:pt>
                <c:pt idx="26">
                  <c:v>10047.213026134041</c:v>
                </c:pt>
                <c:pt idx="27">
                  <c:v>10128.634048460361</c:v>
                </c:pt>
                <c:pt idx="28">
                  <c:v>10153.044693901214</c:v>
                </c:pt>
                <c:pt idx="29">
                  <c:v>10178.370592043821</c:v>
                </c:pt>
                <c:pt idx="30">
                  <c:v>10207.623054517402</c:v>
                </c:pt>
                <c:pt idx="31">
                  <c:v>10239.14586658575</c:v>
                </c:pt>
                <c:pt idx="32">
                  <c:v>10272.350366194394</c:v>
                </c:pt>
                <c:pt idx="33">
                  <c:v>10307.277691771729</c:v>
                </c:pt>
                <c:pt idx="34">
                  <c:v>10344.169601050578</c:v>
                </c:pt>
                <c:pt idx="35">
                  <c:v>10383.295941460177</c:v>
                </c:pt>
                <c:pt idx="36">
                  <c:v>10426.347140810783</c:v>
                </c:pt>
                <c:pt idx="37">
                  <c:v>10469.929258995515</c:v>
                </c:pt>
                <c:pt idx="38">
                  <c:v>10514.229460771159</c:v>
                </c:pt>
                <c:pt idx="39">
                  <c:v>10559.138608453077</c:v>
                </c:pt>
                <c:pt idx="40">
                  <c:v>10604.489523171136</c:v>
                </c:pt>
                <c:pt idx="41">
                  <c:v>10650.1592777407</c:v>
                </c:pt>
                <c:pt idx="42">
                  <c:v>10695.789438579339</c:v>
                </c:pt>
                <c:pt idx="43">
                  <c:v>10741.247934950721</c:v>
                </c:pt>
                <c:pt idx="44">
                  <c:v>10786.286296080434</c:v>
                </c:pt>
                <c:pt idx="45">
                  <c:v>10830.911833550832</c:v>
                </c:pt>
                <c:pt idx="46">
                  <c:v>10874.968078814851</c:v>
                </c:pt>
                <c:pt idx="47">
                  <c:v>10918.344777582757</c:v>
                </c:pt>
                <c:pt idx="48">
                  <c:v>10960.970880082927</c:v>
                </c:pt>
                <c:pt idx="49">
                  <c:v>11002.665614002059</c:v>
                </c:pt>
                <c:pt idx="50">
                  <c:v>11102.271215268844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C43-409D-AC16-05411585B5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44717458"/>
        <c:axId val="39525323"/>
      </c:lineChart>
      <c:catAx>
        <c:axId val="4471745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39525323"/>
        <c:crosses val="autoZero"/>
        <c:auto val="1"/>
        <c:lblAlgn val="ctr"/>
        <c:lblOffset val="100"/>
        <c:noMultiLvlLbl val="0"/>
      </c:catAx>
      <c:valAx>
        <c:axId val="39525323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lang="en-US" sz="1000" b="0" strike="noStrike" spc="-1">
                    <a:solidFill>
                      <a:srgbClr val="595959"/>
                    </a:solidFill>
                    <a:latin typeface="Calibri"/>
                  </a:defRPr>
                </a:pPr>
                <a:r>
                  <a:rPr lang="en-US" sz="1000" b="0" strike="noStrike" spc="-1">
                    <a:solidFill>
                      <a:srgbClr val="595959"/>
                    </a:solidFill>
                    <a:latin typeface="Calibri"/>
                  </a:rPr>
                  <a:t>GWh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648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44717458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900" b="0" strike="noStrike" spc="-1">
              <a:solidFill>
                <a:srgbClr val="595959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lang="en-US" sz="1400" b="0" strike="noStrike" spc="-1">
                <a:solidFill>
                  <a:srgbClr val="595959"/>
                </a:solidFill>
                <a:latin typeface="Calibri"/>
              </a:defRPr>
            </a:pPr>
            <a:r>
              <a:rPr lang="en-US" sz="1400" b="0" strike="noStrike" spc="-1">
                <a:solidFill>
                  <a:srgbClr val="595959"/>
                </a:solidFill>
                <a:latin typeface="Calibri"/>
              </a:rPr>
              <a:t>APS scenario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EST_FEC!$R$1:$R$2</c:f>
              <c:strCache>
                <c:ptCount val="2"/>
                <c:pt idx="0">
                  <c:v>APS</c:v>
                </c:pt>
                <c:pt idx="1">
                  <c:v>Industry</c:v>
                </c:pt>
              </c:strCache>
            </c:strRef>
          </c:tx>
          <c:spPr>
            <a:ln w="28440" cap="rnd">
              <a:solidFill>
                <a:srgbClr val="4472C4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EST_FEC!$A$3:$A$53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EST_FEC!$R$3:$R$53</c:f>
              <c:numCache>
                <c:formatCode>0</c:formatCode>
                <c:ptCount val="51"/>
                <c:pt idx="0">
                  <c:v>1833.000000000002</c:v>
                </c:pt>
                <c:pt idx="1">
                  <c:v>1816.0000000000009</c:v>
                </c:pt>
                <c:pt idx="2">
                  <c:v>1884.0000000000034</c:v>
                </c:pt>
                <c:pt idx="3">
                  <c:v>2030.999999999997</c:v>
                </c:pt>
                <c:pt idx="4">
                  <c:v>2143.9999999999986</c:v>
                </c:pt>
                <c:pt idx="5">
                  <c:v>2168.0000000000005</c:v>
                </c:pt>
                <c:pt idx="6">
                  <c:v>2339.0000000000036</c:v>
                </c:pt>
                <c:pt idx="7">
                  <c:v>2392</c:v>
                </c:pt>
                <c:pt idx="8">
                  <c:v>2335.0000000000036</c:v>
                </c:pt>
                <c:pt idx="9">
                  <c:v>1941.0000000000025</c:v>
                </c:pt>
                <c:pt idx="10">
                  <c:v>2094.9999999999973</c:v>
                </c:pt>
                <c:pt idx="11">
                  <c:v>2046.0000000000023</c:v>
                </c:pt>
                <c:pt idx="12">
                  <c:v>2186.9999999999991</c:v>
                </c:pt>
                <c:pt idx="13">
                  <c:v>2155.9999999999968</c:v>
                </c:pt>
                <c:pt idx="14">
                  <c:v>2117.0000000000027</c:v>
                </c:pt>
                <c:pt idx="15">
                  <c:v>2058.9999999999977</c:v>
                </c:pt>
                <c:pt idx="16">
                  <c:v>2152.0000000000009</c:v>
                </c:pt>
                <c:pt idx="17">
                  <c:v>2281.0000000000009</c:v>
                </c:pt>
                <c:pt idx="18">
                  <c:v>2360.0000000000018</c:v>
                </c:pt>
                <c:pt idx="19">
                  <c:v>2132.0000000000014</c:v>
                </c:pt>
                <c:pt idx="20">
                  <c:v>2129.0000000000014</c:v>
                </c:pt>
                <c:pt idx="21">
                  <c:v>2208.9999999999995</c:v>
                </c:pt>
                <c:pt idx="22">
                  <c:v>2088.0000000000005</c:v>
                </c:pt>
                <c:pt idx="23">
                  <c:v>1783.0000000000014</c:v>
                </c:pt>
                <c:pt idx="24">
                  <c:v>1675.2002355742818</c:v>
                </c:pt>
                <c:pt idx="25">
                  <c:v>1568.3017815516228</c:v>
                </c:pt>
                <c:pt idx="26">
                  <c:v>1459.5808485953837</c:v>
                </c:pt>
                <c:pt idx="27">
                  <c:v>1362.6460401144711</c:v>
                </c:pt>
                <c:pt idx="28">
                  <c:v>1258.0230167527302</c:v>
                </c:pt>
                <c:pt idx="29">
                  <c:v>1154.0968137965704</c:v>
                </c:pt>
                <c:pt idx="30">
                  <c:v>1051.1481534888758</c:v>
                </c:pt>
                <c:pt idx="31">
                  <c:v>996.34675146571715</c:v>
                </c:pt>
                <c:pt idx="32">
                  <c:v>941.93161394305776</c:v>
                </c:pt>
                <c:pt idx="33">
                  <c:v>887.87905013493048</c:v>
                </c:pt>
                <c:pt idx="34">
                  <c:v>834.18118896187343</c:v>
                </c:pt>
                <c:pt idx="35">
                  <c:v>780.82756150046373</c:v>
                </c:pt>
                <c:pt idx="36">
                  <c:v>727.90168649533882</c:v>
                </c:pt>
                <c:pt idx="37">
                  <c:v>675.12388859595637</c:v>
                </c:pt>
                <c:pt idx="38">
                  <c:v>622.49940226402782</c:v>
                </c:pt>
                <c:pt idx="39">
                  <c:v>570.01368732813273</c:v>
                </c:pt>
                <c:pt idx="40">
                  <c:v>517.65181587894676</c:v>
                </c:pt>
                <c:pt idx="41">
                  <c:v>465.40436588538944</c:v>
                </c:pt>
                <c:pt idx="42">
                  <c:v>413.25540131958445</c:v>
                </c:pt>
                <c:pt idx="43">
                  <c:v>361.20383651539908</c:v>
                </c:pt>
                <c:pt idx="44">
                  <c:v>309.24781033089147</c:v>
                </c:pt>
                <c:pt idx="45">
                  <c:v>257.39631828544691</c:v>
                </c:pt>
                <c:pt idx="46">
                  <c:v>205.65494380489076</c:v>
                </c:pt>
                <c:pt idx="47">
                  <c:v>154.03275995618915</c:v>
                </c:pt>
                <c:pt idx="48">
                  <c:v>102.54108868615452</c:v>
                </c:pt>
                <c:pt idx="49">
                  <c:v>51.191833548456167</c:v>
                </c:pt>
                <c:pt idx="5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2A-4D9C-9E83-E67FA1659A93}"/>
            </c:ext>
          </c:extLst>
        </c:ser>
        <c:ser>
          <c:idx val="1"/>
          <c:order val="1"/>
          <c:tx>
            <c:strRef>
              <c:f>EST_FEC!$S$1:$S$2</c:f>
              <c:strCache>
                <c:ptCount val="2"/>
                <c:pt idx="0">
                  <c:v>APS</c:v>
                </c:pt>
                <c:pt idx="1">
                  <c:v>Buildings</c:v>
                </c:pt>
              </c:strCache>
            </c:strRef>
          </c:tx>
          <c:spPr>
            <a:ln w="28440" cap="rnd">
              <a:solidFill>
                <a:srgbClr val="ED7D31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EST_FEC!$A$3:$A$53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EST_FEC!$S$3:$S$53</c:f>
              <c:numCache>
                <c:formatCode>0</c:formatCode>
                <c:ptCount val="51"/>
                <c:pt idx="0">
                  <c:v>2866.9999999999982</c:v>
                </c:pt>
                <c:pt idx="1">
                  <c:v>3064.0000000000036</c:v>
                </c:pt>
                <c:pt idx="2">
                  <c:v>3154.0000000000059</c:v>
                </c:pt>
                <c:pt idx="3">
                  <c:v>3258.0000000000023</c:v>
                </c:pt>
                <c:pt idx="4">
                  <c:v>3468.0000000000032</c:v>
                </c:pt>
                <c:pt idx="5">
                  <c:v>3549.0000000000041</c:v>
                </c:pt>
                <c:pt idx="6">
                  <c:v>3851.0000000000055</c:v>
                </c:pt>
                <c:pt idx="7">
                  <c:v>4131.0000000000036</c:v>
                </c:pt>
                <c:pt idx="8">
                  <c:v>4398.0000000000055</c:v>
                </c:pt>
                <c:pt idx="9">
                  <c:v>4442.9999999999982</c:v>
                </c:pt>
                <c:pt idx="10">
                  <c:v>4533.9999999999964</c:v>
                </c:pt>
                <c:pt idx="11">
                  <c:v>4311.9999999999945</c:v>
                </c:pt>
                <c:pt idx="12">
                  <c:v>4492.0000000000055</c:v>
                </c:pt>
                <c:pt idx="13">
                  <c:v>4395.0000000000045</c:v>
                </c:pt>
                <c:pt idx="14">
                  <c:v>4534</c:v>
                </c:pt>
                <c:pt idx="15">
                  <c:v>4540.9999999999982</c:v>
                </c:pt>
                <c:pt idx="16">
                  <c:v>4883.9999999999955</c:v>
                </c:pt>
                <c:pt idx="17">
                  <c:v>4655.0000000000036</c:v>
                </c:pt>
                <c:pt idx="18">
                  <c:v>4793.0000000000027</c:v>
                </c:pt>
                <c:pt idx="19">
                  <c:v>4990.9999999999927</c:v>
                </c:pt>
                <c:pt idx="20">
                  <c:v>4843.9999999999973</c:v>
                </c:pt>
                <c:pt idx="21">
                  <c:v>5485.0000000000027</c:v>
                </c:pt>
                <c:pt idx="22">
                  <c:v>4872.9999999999955</c:v>
                </c:pt>
                <c:pt idx="23">
                  <c:v>4012.9999999999973</c:v>
                </c:pt>
                <c:pt idx="24">
                  <c:v>4398.9393345102526</c:v>
                </c:pt>
                <c:pt idx="25">
                  <c:v>4684.9994083015708</c:v>
                </c:pt>
                <c:pt idx="26">
                  <c:v>4962.8078972254161</c:v>
                </c:pt>
                <c:pt idx="27">
                  <c:v>5281.5101278643733</c:v>
                </c:pt>
                <c:pt idx="28">
                  <c:v>5572.6708959384832</c:v>
                </c:pt>
                <c:pt idx="29">
                  <c:v>5864.9739699865904</c:v>
                </c:pt>
                <c:pt idx="30">
                  <c:v>6160.3077780004951</c:v>
                </c:pt>
                <c:pt idx="31">
                  <c:v>6248.5569945329535</c:v>
                </c:pt>
                <c:pt idx="32">
                  <c:v>6338.0819434810846</c:v>
                </c:pt>
                <c:pt idx="33">
                  <c:v>6428.9408453432452</c:v>
                </c:pt>
                <c:pt idx="34">
                  <c:v>6521.3193211980033</c:v>
                </c:pt>
                <c:pt idx="35">
                  <c:v>6615.4271718766158</c:v>
                </c:pt>
                <c:pt idx="36">
                  <c:v>6712.3957453149842</c:v>
                </c:pt>
                <c:pt idx="37">
                  <c:v>6810.0940338539967</c:v>
                </c:pt>
                <c:pt idx="38">
                  <c:v>6908.6536154071628</c:v>
                </c:pt>
                <c:pt idx="39">
                  <c:v>7008.0143149010892</c:v>
                </c:pt>
                <c:pt idx="40">
                  <c:v>7108.0741006885382</c:v>
                </c:pt>
                <c:pt idx="41">
                  <c:v>7208.7564338970224</c:v>
                </c:pt>
                <c:pt idx="42">
                  <c:v>7309.8205554115048</c:v>
                </c:pt>
                <c:pt idx="43">
                  <c:v>7411.1724803631141</c:v>
                </c:pt>
                <c:pt idx="44">
                  <c:v>7512.6337141304866</c:v>
                </c:pt>
                <c:pt idx="45">
                  <c:v>7614.1991350041244</c:v>
                </c:pt>
                <c:pt idx="46">
                  <c:v>7715.7476603559589</c:v>
                </c:pt>
                <c:pt idx="47">
                  <c:v>7817.1872945123823</c:v>
                </c:pt>
                <c:pt idx="48">
                  <c:v>7918.4515837800782</c:v>
                </c:pt>
                <c:pt idx="49">
                  <c:v>8019.3923506475721</c:v>
                </c:pt>
                <c:pt idx="50">
                  <c:v>8152.7956988982205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2A-4D9C-9E83-E67FA1659A93}"/>
            </c:ext>
          </c:extLst>
        </c:ser>
        <c:ser>
          <c:idx val="2"/>
          <c:order val="2"/>
          <c:tx>
            <c:strRef>
              <c:f>EST_FEC!$T$1:$T$2</c:f>
              <c:strCache>
                <c:ptCount val="2"/>
                <c:pt idx="0">
                  <c:v>APS</c:v>
                </c:pt>
                <c:pt idx="1">
                  <c:v>Transport</c:v>
                </c:pt>
              </c:strCache>
            </c:strRef>
          </c:tx>
          <c:spPr>
            <a:ln w="28440" cap="rnd">
              <a:solidFill>
                <a:srgbClr val="A5A5A5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EST_FEC!$A$3:$A$53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EST_FEC!$T$3:$T$53</c:f>
              <c:numCache>
                <c:formatCode>0</c:formatCode>
                <c:ptCount val="51"/>
                <c:pt idx="0">
                  <c:v>90.999999999999801</c:v>
                </c:pt>
                <c:pt idx="1">
                  <c:v>84.000000000000256</c:v>
                </c:pt>
                <c:pt idx="2">
                  <c:v>96.999999999999901</c:v>
                </c:pt>
                <c:pt idx="3">
                  <c:v>96.999999999999787</c:v>
                </c:pt>
                <c:pt idx="4">
                  <c:v>79.000000000000014</c:v>
                </c:pt>
                <c:pt idx="5">
                  <c:v>103.00000000000037</c:v>
                </c:pt>
                <c:pt idx="6">
                  <c:v>83.000000000000014</c:v>
                </c:pt>
                <c:pt idx="7">
                  <c:v>76.999999999999986</c:v>
                </c:pt>
                <c:pt idx="8">
                  <c:v>79.999999999999957</c:v>
                </c:pt>
                <c:pt idx="9">
                  <c:v>90.000000000000043</c:v>
                </c:pt>
                <c:pt idx="10">
                  <c:v>89.000000000000114</c:v>
                </c:pt>
                <c:pt idx="11">
                  <c:v>80.000000000000014</c:v>
                </c:pt>
                <c:pt idx="12">
                  <c:v>79.000000000000043</c:v>
                </c:pt>
                <c:pt idx="13">
                  <c:v>63.000000000000028</c:v>
                </c:pt>
                <c:pt idx="14">
                  <c:v>50.000000000000021</c:v>
                </c:pt>
                <c:pt idx="15">
                  <c:v>47</c:v>
                </c:pt>
                <c:pt idx="16">
                  <c:v>48.000000000000028</c:v>
                </c:pt>
                <c:pt idx="17">
                  <c:v>46.000000000000021</c:v>
                </c:pt>
                <c:pt idx="18">
                  <c:v>43.000000000000014</c:v>
                </c:pt>
                <c:pt idx="19">
                  <c:v>56</c:v>
                </c:pt>
                <c:pt idx="20">
                  <c:v>68.000000000000014</c:v>
                </c:pt>
                <c:pt idx="21">
                  <c:v>29.999999999999961</c:v>
                </c:pt>
                <c:pt idx="22">
                  <c:v>32.999999999999972</c:v>
                </c:pt>
                <c:pt idx="23">
                  <c:v>59.999999999999957</c:v>
                </c:pt>
                <c:pt idx="24">
                  <c:v>51.56326757557099</c:v>
                </c:pt>
                <c:pt idx="25">
                  <c:v>238.21949977451285</c:v>
                </c:pt>
                <c:pt idx="26">
                  <c:v>424.85357939081086</c:v>
                </c:pt>
                <c:pt idx="27">
                  <c:v>616.39972923487335</c:v>
                </c:pt>
                <c:pt idx="28">
                  <c:v>806.44183568701078</c:v>
                </c:pt>
                <c:pt idx="29">
                  <c:v>997.48031802029448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92A-4D9C-9E83-E67FA1659A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75753354"/>
        <c:axId val="85128097"/>
      </c:lineChart>
      <c:catAx>
        <c:axId val="7575335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85128097"/>
        <c:crosses val="autoZero"/>
        <c:auto val="1"/>
        <c:lblAlgn val="ctr"/>
        <c:lblOffset val="100"/>
        <c:noMultiLvlLbl val="0"/>
      </c:catAx>
      <c:valAx>
        <c:axId val="85128097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lang="en-US" sz="1000" b="0" strike="noStrike" spc="-1">
                    <a:solidFill>
                      <a:srgbClr val="595959"/>
                    </a:solidFill>
                    <a:latin typeface="Calibri"/>
                  </a:defRPr>
                </a:pPr>
                <a:r>
                  <a:rPr lang="en-US" sz="1000" b="0" strike="noStrike" spc="-1">
                    <a:solidFill>
                      <a:srgbClr val="595959"/>
                    </a:solidFill>
                    <a:latin typeface="Calibri"/>
                  </a:rPr>
                  <a:t>GWh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648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75753354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900" b="0" strike="noStrike" spc="-1">
              <a:solidFill>
                <a:srgbClr val="595959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lang="en-US" sz="1400" b="0" strike="noStrike" spc="-1">
                <a:solidFill>
                  <a:srgbClr val="595959"/>
                </a:solidFill>
                <a:latin typeface="Calibri"/>
              </a:defRPr>
            </a:pPr>
            <a:r>
              <a:rPr lang="en-US" sz="1400" b="0" strike="noStrike" spc="-1">
                <a:solidFill>
                  <a:srgbClr val="595959"/>
                </a:solidFill>
                <a:latin typeface="Calibri"/>
              </a:rPr>
              <a:t>EURELECTRIC scenario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EST_FEC!$V$1:$V$2</c:f>
              <c:strCache>
                <c:ptCount val="2"/>
                <c:pt idx="0">
                  <c:v>EUROELECTRIC</c:v>
                </c:pt>
                <c:pt idx="1">
                  <c:v>Industry</c:v>
                </c:pt>
              </c:strCache>
            </c:strRef>
          </c:tx>
          <c:spPr>
            <a:ln w="28440" cap="rnd">
              <a:solidFill>
                <a:srgbClr val="4472C4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EST_FEC!$A$3:$A$53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EST_FEC!$V$3:$V$53</c:f>
              <c:numCache>
                <c:formatCode>0</c:formatCode>
                <c:ptCount val="51"/>
                <c:pt idx="0">
                  <c:v>1833.000000000002</c:v>
                </c:pt>
                <c:pt idx="1">
                  <c:v>1816.0000000000009</c:v>
                </c:pt>
                <c:pt idx="2">
                  <c:v>1884.0000000000034</c:v>
                </c:pt>
                <c:pt idx="3">
                  <c:v>2030.999999999997</c:v>
                </c:pt>
                <c:pt idx="4">
                  <c:v>2143.9999999999986</c:v>
                </c:pt>
                <c:pt idx="5">
                  <c:v>2168.0000000000005</c:v>
                </c:pt>
                <c:pt idx="6">
                  <c:v>2339.0000000000036</c:v>
                </c:pt>
                <c:pt idx="7">
                  <c:v>2392</c:v>
                </c:pt>
                <c:pt idx="8">
                  <c:v>2335.0000000000036</c:v>
                </c:pt>
                <c:pt idx="9">
                  <c:v>1941.0000000000025</c:v>
                </c:pt>
                <c:pt idx="10">
                  <c:v>2094.9999999999973</c:v>
                </c:pt>
                <c:pt idx="11">
                  <c:v>2046.0000000000023</c:v>
                </c:pt>
                <c:pt idx="12">
                  <c:v>2186.9999999999991</c:v>
                </c:pt>
                <c:pt idx="13">
                  <c:v>2155.9999999999968</c:v>
                </c:pt>
                <c:pt idx="14">
                  <c:v>2117.0000000000027</c:v>
                </c:pt>
                <c:pt idx="15">
                  <c:v>2058.9999999999977</c:v>
                </c:pt>
                <c:pt idx="16">
                  <c:v>2152.0000000000009</c:v>
                </c:pt>
                <c:pt idx="17">
                  <c:v>2281.0000000000009</c:v>
                </c:pt>
                <c:pt idx="18">
                  <c:v>2360.0000000000018</c:v>
                </c:pt>
                <c:pt idx="19">
                  <c:v>2132.0000000000014</c:v>
                </c:pt>
                <c:pt idx="20">
                  <c:v>2129.0000000000014</c:v>
                </c:pt>
                <c:pt idx="21">
                  <c:v>2208.9999999999995</c:v>
                </c:pt>
                <c:pt idx="22">
                  <c:v>2088.0000000000005</c:v>
                </c:pt>
                <c:pt idx="23">
                  <c:v>1783.0000000000014</c:v>
                </c:pt>
                <c:pt idx="24">
                  <c:v>1235.8126990381318</c:v>
                </c:pt>
                <c:pt idx="25">
                  <c:v>1272.6642481341291</c:v>
                </c:pt>
                <c:pt idx="26">
                  <c:v>1306.9819504879254</c:v>
                </c:pt>
                <c:pt idx="27">
                  <c:v>1351.5359888100393</c:v>
                </c:pt>
                <c:pt idx="28">
                  <c:v>1388.4380694894292</c:v>
                </c:pt>
                <c:pt idx="29">
                  <c:v>1425.2329040185232</c:v>
                </c:pt>
                <c:pt idx="30">
                  <c:v>1462.3612042750328</c:v>
                </c:pt>
                <c:pt idx="31">
                  <c:v>1499.618392739701</c:v>
                </c:pt>
                <c:pt idx="32">
                  <c:v>1536.9377980593513</c:v>
                </c:pt>
                <c:pt idx="33">
                  <c:v>1574.3410935262887</c:v>
                </c:pt>
                <c:pt idx="34">
                  <c:v>1611.8813599211196</c:v>
                </c:pt>
                <c:pt idx="35">
                  <c:v>1649.6187217502079</c:v>
                </c:pt>
                <c:pt idx="36">
                  <c:v>1687.8461063840332</c:v>
                </c:pt>
                <c:pt idx="37">
                  <c:v>1726.0378903954313</c:v>
                </c:pt>
                <c:pt idx="38">
                  <c:v>1764.2286300276037</c:v>
                </c:pt>
                <c:pt idx="39">
                  <c:v>1802.4043909496054</c:v>
                </c:pt>
                <c:pt idx="40">
                  <c:v>1840.5397897918119</c:v>
                </c:pt>
                <c:pt idx="41">
                  <c:v>1892.2613724064411</c:v>
                </c:pt>
                <c:pt idx="42">
                  <c:v>1943.8309617624918</c:v>
                </c:pt>
                <c:pt idx="43">
                  <c:v>1995.2211921803016</c:v>
                </c:pt>
                <c:pt idx="44">
                  <c:v>2046.3805720661485</c:v>
                </c:pt>
                <c:pt idx="45">
                  <c:v>2097.3033341777186</c:v>
                </c:pt>
                <c:pt idx="46">
                  <c:v>2147.9516352955297</c:v>
                </c:pt>
                <c:pt idx="47">
                  <c:v>2198.2946976463591</c:v>
                </c:pt>
                <c:pt idx="48">
                  <c:v>2248.3083148964329</c:v>
                </c:pt>
                <c:pt idx="49">
                  <c:v>2297.9445281751596</c:v>
                </c:pt>
                <c:pt idx="50">
                  <c:v>2347.1468196567198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BF-4B77-856F-B76CAC842F0C}"/>
            </c:ext>
          </c:extLst>
        </c:ser>
        <c:ser>
          <c:idx val="1"/>
          <c:order val="1"/>
          <c:tx>
            <c:strRef>
              <c:f>EST_FEC!$W$1:$W$2</c:f>
              <c:strCache>
                <c:ptCount val="2"/>
                <c:pt idx="0">
                  <c:v>EUROELECTRIC</c:v>
                </c:pt>
                <c:pt idx="1">
                  <c:v>Buildings</c:v>
                </c:pt>
              </c:strCache>
            </c:strRef>
          </c:tx>
          <c:spPr>
            <a:ln w="28440" cap="rnd">
              <a:solidFill>
                <a:srgbClr val="ED7D31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EST_FEC!$A$3:$A$53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EST_FEC!$W$3:$W$53</c:f>
              <c:numCache>
                <c:formatCode>0</c:formatCode>
                <c:ptCount val="51"/>
                <c:pt idx="0">
                  <c:v>2866.9999999999982</c:v>
                </c:pt>
                <c:pt idx="1">
                  <c:v>3064.0000000000036</c:v>
                </c:pt>
                <c:pt idx="2">
                  <c:v>3154.0000000000059</c:v>
                </c:pt>
                <c:pt idx="3">
                  <c:v>3258.0000000000023</c:v>
                </c:pt>
                <c:pt idx="4">
                  <c:v>3468.0000000000032</c:v>
                </c:pt>
                <c:pt idx="5">
                  <c:v>3549.0000000000041</c:v>
                </c:pt>
                <c:pt idx="6">
                  <c:v>3851.0000000000055</c:v>
                </c:pt>
                <c:pt idx="7">
                  <c:v>4131.0000000000036</c:v>
                </c:pt>
                <c:pt idx="8">
                  <c:v>4398.0000000000055</c:v>
                </c:pt>
                <c:pt idx="9">
                  <c:v>4442.9999999999982</c:v>
                </c:pt>
                <c:pt idx="10">
                  <c:v>4533.9999999999964</c:v>
                </c:pt>
                <c:pt idx="11">
                  <c:v>4311.9999999999945</c:v>
                </c:pt>
                <c:pt idx="12">
                  <c:v>4492.0000000000055</c:v>
                </c:pt>
                <c:pt idx="13">
                  <c:v>4395.0000000000045</c:v>
                </c:pt>
                <c:pt idx="14">
                  <c:v>4534</c:v>
                </c:pt>
                <c:pt idx="15">
                  <c:v>4540.9999999999982</c:v>
                </c:pt>
                <c:pt idx="16">
                  <c:v>4883.9999999999955</c:v>
                </c:pt>
                <c:pt idx="17">
                  <c:v>4655.0000000000036</c:v>
                </c:pt>
                <c:pt idx="18">
                  <c:v>4793.0000000000027</c:v>
                </c:pt>
                <c:pt idx="19">
                  <c:v>4990.9999999999927</c:v>
                </c:pt>
                <c:pt idx="20">
                  <c:v>4843.9999999999973</c:v>
                </c:pt>
                <c:pt idx="21">
                  <c:v>5485.0000000000027</c:v>
                </c:pt>
                <c:pt idx="22">
                  <c:v>4872.9999999999955</c:v>
                </c:pt>
                <c:pt idx="23">
                  <c:v>4012.9999999999973</c:v>
                </c:pt>
                <c:pt idx="24">
                  <c:v>4428.3381864983157</c:v>
                </c:pt>
                <c:pt idx="25">
                  <c:v>4688.0637247750237</c:v>
                </c:pt>
                <c:pt idx="26">
                  <c:v>4939.5447352071715</c:v>
                </c:pt>
                <c:pt idx="27">
                  <c:v>5231.5850645446999</c:v>
                </c:pt>
                <c:pt idx="28">
                  <c:v>5496.1563693653115</c:v>
                </c:pt>
                <c:pt idx="29">
                  <c:v>5761.8014995173726</c:v>
                </c:pt>
                <c:pt idx="30">
                  <c:v>6030.3637858082957</c:v>
                </c:pt>
                <c:pt idx="31">
                  <c:v>6301.1104445641322</c:v>
                </c:pt>
                <c:pt idx="32">
                  <c:v>6573.827674305684</c:v>
                </c:pt>
                <c:pt idx="33">
                  <c:v>6848.661606857745</c:v>
                </c:pt>
                <c:pt idx="34">
                  <c:v>7125.899966600733</c:v>
                </c:pt>
                <c:pt idx="35">
                  <c:v>7405.8734332221647</c:v>
                </c:pt>
                <c:pt idx="36">
                  <c:v>7689.9859396181228</c:v>
                </c:pt>
                <c:pt idx="37">
                  <c:v>7975.9312524369025</c:v>
                </c:pt>
                <c:pt idx="38">
                  <c:v>8263.8880817249592</c:v>
                </c:pt>
                <c:pt idx="39">
                  <c:v>8553.8129780404361</c:v>
                </c:pt>
                <c:pt idx="40">
                  <c:v>8845.603325301292</c:v>
                </c:pt>
                <c:pt idx="41">
                  <c:v>8935.6892938855381</c:v>
                </c:pt>
                <c:pt idx="42">
                  <c:v>9026.0392945081185</c:v>
                </c:pt>
                <c:pt idx="43">
                  <c:v>9116.5390511133355</c:v>
                </c:pt>
                <c:pt idx="44">
                  <c:v>9206.9723815726811</c:v>
                </c:pt>
                <c:pt idx="45">
                  <c:v>9297.3378911629297</c:v>
                </c:pt>
                <c:pt idx="46">
                  <c:v>9387.4929867664159</c:v>
                </c:pt>
                <c:pt idx="47">
                  <c:v>9477.3322250995479</c:v>
                </c:pt>
                <c:pt idx="48">
                  <c:v>9566.7823216281759</c:v>
                </c:pt>
                <c:pt idx="49">
                  <c:v>9655.6724060322267</c:v>
                </c:pt>
                <c:pt idx="50">
                  <c:v>9783.3548386778639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BF-4B77-856F-B76CAC842F0C}"/>
            </c:ext>
          </c:extLst>
        </c:ser>
        <c:ser>
          <c:idx val="2"/>
          <c:order val="2"/>
          <c:tx>
            <c:strRef>
              <c:f>EST_FEC!$X$1:$X$2</c:f>
              <c:strCache>
                <c:ptCount val="2"/>
                <c:pt idx="0">
                  <c:v>EUROELECTRIC</c:v>
                </c:pt>
                <c:pt idx="1">
                  <c:v>Transport</c:v>
                </c:pt>
              </c:strCache>
            </c:strRef>
          </c:tx>
          <c:spPr>
            <a:ln w="28440" cap="rnd">
              <a:solidFill>
                <a:srgbClr val="A5A5A5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EST_FEC!$A$3:$A$53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EST_FEC!$X$3:$X$53</c:f>
              <c:numCache>
                <c:formatCode>0</c:formatCode>
                <c:ptCount val="51"/>
                <c:pt idx="0">
                  <c:v>90.999999999999801</c:v>
                </c:pt>
                <c:pt idx="1">
                  <c:v>84.000000000000256</c:v>
                </c:pt>
                <c:pt idx="2">
                  <c:v>96.999999999999901</c:v>
                </c:pt>
                <c:pt idx="3">
                  <c:v>96.999999999999787</c:v>
                </c:pt>
                <c:pt idx="4">
                  <c:v>79.000000000000014</c:v>
                </c:pt>
                <c:pt idx="5">
                  <c:v>103.00000000000037</c:v>
                </c:pt>
                <c:pt idx="6">
                  <c:v>83.000000000000014</c:v>
                </c:pt>
                <c:pt idx="7">
                  <c:v>76.999999999999986</c:v>
                </c:pt>
                <c:pt idx="8">
                  <c:v>79.999999999999957</c:v>
                </c:pt>
                <c:pt idx="9">
                  <c:v>90.000000000000043</c:v>
                </c:pt>
                <c:pt idx="10">
                  <c:v>89.000000000000114</c:v>
                </c:pt>
                <c:pt idx="11">
                  <c:v>80.000000000000014</c:v>
                </c:pt>
                <c:pt idx="12">
                  <c:v>79.000000000000043</c:v>
                </c:pt>
                <c:pt idx="13">
                  <c:v>63.000000000000028</c:v>
                </c:pt>
                <c:pt idx="14">
                  <c:v>50.000000000000021</c:v>
                </c:pt>
                <c:pt idx="15">
                  <c:v>47</c:v>
                </c:pt>
                <c:pt idx="16">
                  <c:v>48.000000000000028</c:v>
                </c:pt>
                <c:pt idx="17">
                  <c:v>46.000000000000021</c:v>
                </c:pt>
                <c:pt idx="18">
                  <c:v>43.000000000000014</c:v>
                </c:pt>
                <c:pt idx="19">
                  <c:v>56</c:v>
                </c:pt>
                <c:pt idx="20">
                  <c:v>68.000000000000014</c:v>
                </c:pt>
                <c:pt idx="21">
                  <c:v>29.999999999999961</c:v>
                </c:pt>
                <c:pt idx="22">
                  <c:v>32.999999999999972</c:v>
                </c:pt>
                <c:pt idx="23">
                  <c:v>59.999999999999957</c:v>
                </c:pt>
                <c:pt idx="24">
                  <c:v>60.157145504832819</c:v>
                </c:pt>
                <c:pt idx="25">
                  <c:v>244.85663945196538</c:v>
                </c:pt>
                <c:pt idx="26">
                  <c:v>429.51835686723018</c:v>
                </c:pt>
                <c:pt idx="27">
                  <c:v>619.11275621213952</c:v>
                </c:pt>
                <c:pt idx="28">
                  <c:v>807.16705316514651</c:v>
                </c:pt>
                <c:pt idx="29">
                  <c:v>996.20802169628894</c:v>
                </c:pt>
                <c:pt idx="30">
                  <c:v>1186.636180087648</c:v>
                </c:pt>
                <c:pt idx="31">
                  <c:v>1378.4450122891064</c:v>
                </c:pt>
                <c:pt idx="32">
                  <c:v>1571.6696060277422</c:v>
                </c:pt>
                <c:pt idx="33">
                  <c:v>1766.4097144273801</c:v>
                </c:pt>
                <c:pt idx="34">
                  <c:v>1962.8061817993473</c:v>
                </c:pt>
                <c:pt idx="35">
                  <c:v>2161.0234678163993</c:v>
                </c:pt>
                <c:pt idx="36">
                  <c:v>2361.5676273936424</c:v>
                </c:pt>
                <c:pt idx="37">
                  <c:v>2563.823927296527</c:v>
                </c:pt>
                <c:pt idx="38">
                  <c:v>2767.8709055480076</c:v>
                </c:pt>
                <c:pt idx="39">
                  <c:v>2973.7174106055973</c:v>
                </c:pt>
                <c:pt idx="40">
                  <c:v>3181.3468569513407</c:v>
                </c:pt>
                <c:pt idx="41">
                  <c:v>3514.5525616544305</c:v>
                </c:pt>
                <c:pt idx="42">
                  <c:v>3850.484197888562</c:v>
                </c:pt>
                <c:pt idx="43">
                  <c:v>4189.0866946307815</c:v>
                </c:pt>
                <c:pt idx="44">
                  <c:v>4530.2402443537831</c:v>
                </c:pt>
                <c:pt idx="45">
                  <c:v>4873.9103250978751</c:v>
                </c:pt>
                <c:pt idx="46">
                  <c:v>5219.9846778311294</c:v>
                </c:pt>
                <c:pt idx="47">
                  <c:v>5568.355836567207</c:v>
                </c:pt>
                <c:pt idx="48">
                  <c:v>5918.9242752447817</c:v>
                </c:pt>
                <c:pt idx="49">
                  <c:v>6271.5193999811754</c:v>
                </c:pt>
                <c:pt idx="50">
                  <c:v>6661.3627291613057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2BF-4B77-856F-B76CAC842F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62460760"/>
        <c:axId val="87865767"/>
      </c:lineChart>
      <c:catAx>
        <c:axId val="624607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87865767"/>
        <c:crosses val="autoZero"/>
        <c:auto val="1"/>
        <c:lblAlgn val="ctr"/>
        <c:lblOffset val="100"/>
        <c:noMultiLvlLbl val="0"/>
      </c:catAx>
      <c:valAx>
        <c:axId val="87865767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lang="en-US" sz="1000" b="0" strike="noStrike" spc="-1">
                    <a:solidFill>
                      <a:srgbClr val="595959"/>
                    </a:solidFill>
                    <a:latin typeface="Calibri"/>
                  </a:defRPr>
                </a:pPr>
                <a:r>
                  <a:rPr lang="en-US" sz="1000" b="0" strike="noStrike" spc="-1">
                    <a:solidFill>
                      <a:srgbClr val="595959"/>
                    </a:solidFill>
                    <a:latin typeface="Calibri"/>
                  </a:rPr>
                  <a:t>GWh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648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62460760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900" b="0" strike="noStrike" spc="-1">
              <a:solidFill>
                <a:srgbClr val="595959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lang="en-US" sz="1400" b="0" strike="noStrike" spc="-1">
                <a:solidFill>
                  <a:srgbClr val="595959"/>
                </a:solidFill>
                <a:latin typeface="Calibri"/>
              </a:defRPr>
            </a:pPr>
            <a:r>
              <a:rPr lang="en-US" sz="1400" b="0" strike="noStrike" spc="-1">
                <a:solidFill>
                  <a:srgbClr val="595959"/>
                </a:solidFill>
                <a:latin typeface="Calibri"/>
              </a:rPr>
              <a:t>JRC scenario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EST_FEC!$Z$1:$Z$2</c:f>
              <c:strCache>
                <c:ptCount val="2"/>
                <c:pt idx="0">
                  <c:v>JRC</c:v>
                </c:pt>
                <c:pt idx="1">
                  <c:v>Industry</c:v>
                </c:pt>
              </c:strCache>
            </c:strRef>
          </c:tx>
          <c:spPr>
            <a:ln w="28440" cap="rnd">
              <a:solidFill>
                <a:srgbClr val="4472C4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EST_FEC!$A$3:$A$53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EST_FEC!$Z$3:$Z$53</c:f>
              <c:numCache>
                <c:formatCode>0</c:formatCode>
                <c:ptCount val="51"/>
                <c:pt idx="0">
                  <c:v>1833.000000000002</c:v>
                </c:pt>
                <c:pt idx="1">
                  <c:v>1816.0000000000009</c:v>
                </c:pt>
                <c:pt idx="2">
                  <c:v>1884.0000000000034</c:v>
                </c:pt>
                <c:pt idx="3">
                  <c:v>2030.999999999997</c:v>
                </c:pt>
                <c:pt idx="4">
                  <c:v>2143.9999999999986</c:v>
                </c:pt>
                <c:pt idx="5">
                  <c:v>2168.0000000000005</c:v>
                </c:pt>
                <c:pt idx="6">
                  <c:v>2339.0000000000036</c:v>
                </c:pt>
                <c:pt idx="7">
                  <c:v>2392</c:v>
                </c:pt>
                <c:pt idx="8">
                  <c:v>2335.0000000000036</c:v>
                </c:pt>
                <c:pt idx="9">
                  <c:v>1941.0000000000025</c:v>
                </c:pt>
                <c:pt idx="10">
                  <c:v>2094.9999999999973</c:v>
                </c:pt>
                <c:pt idx="11">
                  <c:v>2046.0000000000023</c:v>
                </c:pt>
                <c:pt idx="12">
                  <c:v>2186.9999999999991</c:v>
                </c:pt>
                <c:pt idx="13">
                  <c:v>2155.9999999999968</c:v>
                </c:pt>
                <c:pt idx="14">
                  <c:v>2117.0000000000027</c:v>
                </c:pt>
                <c:pt idx="15">
                  <c:v>2058.9999999999977</c:v>
                </c:pt>
                <c:pt idx="16">
                  <c:v>2152.0000000000009</c:v>
                </c:pt>
                <c:pt idx="17">
                  <c:v>2281.0000000000009</c:v>
                </c:pt>
                <c:pt idx="18">
                  <c:v>2360.0000000000018</c:v>
                </c:pt>
                <c:pt idx="19">
                  <c:v>2132.0000000000014</c:v>
                </c:pt>
                <c:pt idx="20">
                  <c:v>2129.0000000000014</c:v>
                </c:pt>
                <c:pt idx="21">
                  <c:v>2208.9999999999995</c:v>
                </c:pt>
                <c:pt idx="22">
                  <c:v>2088.0000000000005</c:v>
                </c:pt>
                <c:pt idx="23">
                  <c:v>1783.0000000000014</c:v>
                </c:pt>
                <c:pt idx="24">
                  <c:v>1235.8126990381318</c:v>
                </c:pt>
                <c:pt idx="25">
                  <c:v>1259.8950416311111</c:v>
                </c:pt>
                <c:pt idx="26">
                  <c:v>1281.5747904908242</c:v>
                </c:pt>
                <c:pt idx="27">
                  <c:v>1313.3207553132395</c:v>
                </c:pt>
                <c:pt idx="28">
                  <c:v>1337.6332938128769</c:v>
                </c:pt>
                <c:pt idx="29">
                  <c:v>1361.9071486628384</c:v>
                </c:pt>
                <c:pt idx="30">
                  <c:v>1386.5572508984319</c:v>
                </c:pt>
                <c:pt idx="31">
                  <c:v>1411.3791814509871</c:v>
                </c:pt>
                <c:pt idx="32">
                  <c:v>1436.3040786209913</c:v>
                </c:pt>
                <c:pt idx="33">
                  <c:v>1461.3474361278963</c:v>
                </c:pt>
                <c:pt idx="34">
                  <c:v>1486.5536572525702</c:v>
                </c:pt>
                <c:pt idx="35">
                  <c:v>1511.9728375113455</c:v>
                </c:pt>
                <c:pt idx="36">
                  <c:v>1537.8663632874675</c:v>
                </c:pt>
                <c:pt idx="37">
                  <c:v>1563.7484940983281</c:v>
                </c:pt>
                <c:pt idx="38">
                  <c:v>1589.6494707388156</c:v>
                </c:pt>
                <c:pt idx="39">
                  <c:v>1615.555498687326</c:v>
                </c:pt>
                <c:pt idx="40">
                  <c:v>1641.44293753068</c:v>
                </c:pt>
                <c:pt idx="41">
                  <c:v>1667.2938299224318</c:v>
                </c:pt>
                <c:pt idx="42">
                  <c:v>1693.0520430130018</c:v>
                </c:pt>
                <c:pt idx="43">
                  <c:v>1718.6951781447046</c:v>
                </c:pt>
                <c:pt idx="44">
                  <c:v>1744.1811448767032</c:v>
                </c:pt>
                <c:pt idx="45">
                  <c:v>1769.5080228569373</c:v>
                </c:pt>
                <c:pt idx="46">
                  <c:v>1794.6469882461033</c:v>
                </c:pt>
                <c:pt idx="47">
                  <c:v>1819.5759744492341</c:v>
                </c:pt>
                <c:pt idx="48">
                  <c:v>1844.2788970817564</c:v>
                </c:pt>
                <c:pt idx="49">
                  <c:v>1868.720693038103</c:v>
                </c:pt>
                <c:pt idx="50">
                  <c:v>1892.8603384328385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AF-4A27-BE38-3BC3480C8A90}"/>
            </c:ext>
          </c:extLst>
        </c:ser>
        <c:ser>
          <c:idx val="1"/>
          <c:order val="1"/>
          <c:tx>
            <c:strRef>
              <c:f>EST_FEC!$AA$1:$AA$2</c:f>
              <c:strCache>
                <c:ptCount val="2"/>
                <c:pt idx="0">
                  <c:v>JRC</c:v>
                </c:pt>
                <c:pt idx="1">
                  <c:v>Buildings</c:v>
                </c:pt>
              </c:strCache>
            </c:strRef>
          </c:tx>
          <c:spPr>
            <a:ln w="28440" cap="rnd">
              <a:solidFill>
                <a:srgbClr val="ED7D31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EST_FEC!$A$3:$A$53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EST_FEC!$AA$3:$AA$53</c:f>
              <c:numCache>
                <c:formatCode>0</c:formatCode>
                <c:ptCount val="51"/>
                <c:pt idx="0">
                  <c:v>2866.9999999999982</c:v>
                </c:pt>
                <c:pt idx="1">
                  <c:v>3064.0000000000036</c:v>
                </c:pt>
                <c:pt idx="2">
                  <c:v>3154.0000000000059</c:v>
                </c:pt>
                <c:pt idx="3">
                  <c:v>3258.0000000000023</c:v>
                </c:pt>
                <c:pt idx="4">
                  <c:v>3468.0000000000032</c:v>
                </c:pt>
                <c:pt idx="5">
                  <c:v>3549.0000000000041</c:v>
                </c:pt>
                <c:pt idx="6">
                  <c:v>3851.0000000000055</c:v>
                </c:pt>
                <c:pt idx="7">
                  <c:v>4131.0000000000036</c:v>
                </c:pt>
                <c:pt idx="8">
                  <c:v>4398.0000000000055</c:v>
                </c:pt>
                <c:pt idx="9">
                  <c:v>4442.9999999999982</c:v>
                </c:pt>
                <c:pt idx="10">
                  <c:v>4533.9999999999964</c:v>
                </c:pt>
                <c:pt idx="11">
                  <c:v>4311.9999999999945</c:v>
                </c:pt>
                <c:pt idx="12">
                  <c:v>4492.0000000000055</c:v>
                </c:pt>
                <c:pt idx="13">
                  <c:v>4395.0000000000045</c:v>
                </c:pt>
                <c:pt idx="14">
                  <c:v>4534</c:v>
                </c:pt>
                <c:pt idx="15">
                  <c:v>4540.9999999999982</c:v>
                </c:pt>
                <c:pt idx="16">
                  <c:v>4883.9999999999955</c:v>
                </c:pt>
                <c:pt idx="17">
                  <c:v>4655.0000000000036</c:v>
                </c:pt>
                <c:pt idx="18">
                  <c:v>4793.0000000000027</c:v>
                </c:pt>
                <c:pt idx="19">
                  <c:v>4990.9999999999927</c:v>
                </c:pt>
                <c:pt idx="20">
                  <c:v>4843.9999999999973</c:v>
                </c:pt>
                <c:pt idx="21">
                  <c:v>5485.0000000000027</c:v>
                </c:pt>
                <c:pt idx="22">
                  <c:v>4872.9999999999955</c:v>
                </c:pt>
                <c:pt idx="23">
                  <c:v>4012.9999999999973</c:v>
                </c:pt>
                <c:pt idx="24">
                  <c:v>4428.3381864983157</c:v>
                </c:pt>
                <c:pt idx="25">
                  <c:v>4551.1123500768517</c:v>
                </c:pt>
                <c:pt idx="26">
                  <c:v>4665.9435786768099</c:v>
                </c:pt>
                <c:pt idx="27">
                  <c:v>4818.3876031667851</c:v>
                </c:pt>
                <c:pt idx="28">
                  <c:v>4944.6062460525018</c:v>
                </c:pt>
                <c:pt idx="29">
                  <c:v>5071.5296738308843</c:v>
                </c:pt>
                <c:pt idx="30">
                  <c:v>5200.7213741196474</c:v>
                </c:pt>
                <c:pt idx="31">
                  <c:v>5331.449222923201</c:v>
                </c:pt>
                <c:pt idx="32">
                  <c:v>5463.4742006236083</c:v>
                </c:pt>
                <c:pt idx="33">
                  <c:v>5596.8726441827384</c:v>
                </c:pt>
                <c:pt idx="34">
                  <c:v>5731.8335938515029</c:v>
                </c:pt>
                <c:pt idx="35">
                  <c:v>5868.5723848253847</c:v>
                </c:pt>
                <c:pt idx="36">
                  <c:v>6008.1345459183376</c:v>
                </c:pt>
                <c:pt idx="37">
                  <c:v>6148.6538661980603</c:v>
                </c:pt>
                <c:pt idx="38">
                  <c:v>6290.2566484336521</c:v>
                </c:pt>
                <c:pt idx="39">
                  <c:v>6432.8968047888484</c:v>
                </c:pt>
                <c:pt idx="40">
                  <c:v>6576.487362389179</c:v>
                </c:pt>
                <c:pt idx="41">
                  <c:v>6720.9618839955338</c:v>
                </c:pt>
                <c:pt idx="42">
                  <c:v>6866.0973344057529</c:v>
                </c:pt>
                <c:pt idx="43">
                  <c:v>7011.8028467025169</c:v>
                </c:pt>
                <c:pt idx="44">
                  <c:v>7157.9046099526349</c:v>
                </c:pt>
                <c:pt idx="45">
                  <c:v>7304.3906276891748</c:v>
                </c:pt>
                <c:pt idx="46">
                  <c:v>7451.1370835424641</c:v>
                </c:pt>
                <c:pt idx="47">
                  <c:v>7598.0456839961107</c:v>
                </c:pt>
                <c:pt idx="48">
                  <c:v>7745.041223350353</c:v>
                </c:pt>
                <c:pt idx="49">
                  <c:v>7891.9668855576347</c:v>
                </c:pt>
                <c:pt idx="50">
                  <c:v>8071.2677419092379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AF-4A27-BE38-3BC3480C8A90}"/>
            </c:ext>
          </c:extLst>
        </c:ser>
        <c:ser>
          <c:idx val="2"/>
          <c:order val="2"/>
          <c:tx>
            <c:strRef>
              <c:f>EST_FEC!$AB$1:$AB$2</c:f>
              <c:strCache>
                <c:ptCount val="2"/>
                <c:pt idx="0">
                  <c:v>JRC</c:v>
                </c:pt>
                <c:pt idx="1">
                  <c:v>Transport</c:v>
                </c:pt>
              </c:strCache>
            </c:strRef>
          </c:tx>
          <c:spPr>
            <a:ln w="28440" cap="rnd">
              <a:solidFill>
                <a:srgbClr val="A5A5A5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EST_FEC!$A$3:$A$53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EST_FEC!$AB$3:$AB$53</c:f>
              <c:numCache>
                <c:formatCode>0</c:formatCode>
                <c:ptCount val="51"/>
                <c:pt idx="0">
                  <c:v>90.999999999999801</c:v>
                </c:pt>
                <c:pt idx="1">
                  <c:v>84.000000000000256</c:v>
                </c:pt>
                <c:pt idx="2">
                  <c:v>96.999999999999901</c:v>
                </c:pt>
                <c:pt idx="3">
                  <c:v>96.999999999999787</c:v>
                </c:pt>
                <c:pt idx="4">
                  <c:v>79.000000000000014</c:v>
                </c:pt>
                <c:pt idx="5">
                  <c:v>103.00000000000037</c:v>
                </c:pt>
                <c:pt idx="6">
                  <c:v>83.000000000000014</c:v>
                </c:pt>
                <c:pt idx="7">
                  <c:v>76.999999999999986</c:v>
                </c:pt>
                <c:pt idx="8">
                  <c:v>79.999999999999957</c:v>
                </c:pt>
                <c:pt idx="9">
                  <c:v>90.000000000000043</c:v>
                </c:pt>
                <c:pt idx="10">
                  <c:v>89.000000000000114</c:v>
                </c:pt>
                <c:pt idx="11">
                  <c:v>80.000000000000014</c:v>
                </c:pt>
                <c:pt idx="12">
                  <c:v>79.000000000000043</c:v>
                </c:pt>
                <c:pt idx="13">
                  <c:v>63.000000000000028</c:v>
                </c:pt>
                <c:pt idx="14">
                  <c:v>50.000000000000021</c:v>
                </c:pt>
                <c:pt idx="15">
                  <c:v>47</c:v>
                </c:pt>
                <c:pt idx="16">
                  <c:v>48.000000000000028</c:v>
                </c:pt>
                <c:pt idx="17">
                  <c:v>46.000000000000021</c:v>
                </c:pt>
                <c:pt idx="18">
                  <c:v>43.000000000000014</c:v>
                </c:pt>
                <c:pt idx="19">
                  <c:v>56</c:v>
                </c:pt>
                <c:pt idx="20">
                  <c:v>68.000000000000014</c:v>
                </c:pt>
                <c:pt idx="21">
                  <c:v>29.999999999999961</c:v>
                </c:pt>
                <c:pt idx="22">
                  <c:v>32.999999999999972</c:v>
                </c:pt>
                <c:pt idx="23">
                  <c:v>59.999999999999957</c:v>
                </c:pt>
                <c:pt idx="24">
                  <c:v>60.157145504832819</c:v>
                </c:pt>
                <c:pt idx="25">
                  <c:v>202.83981966434999</c:v>
                </c:pt>
                <c:pt idx="26">
                  <c:v>345.46955559091663</c:v>
                </c:pt>
                <c:pt idx="27">
                  <c:v>492.01787704636286</c:v>
                </c:pt>
                <c:pt idx="28">
                  <c:v>637.29880540179931</c:v>
                </c:pt>
                <c:pt idx="29">
                  <c:v>783.3430597953726</c:v>
                </c:pt>
                <c:pt idx="30">
                  <c:v>930.46410150793258</c:v>
                </c:pt>
                <c:pt idx="31">
                  <c:v>1078.6546357145528</c:v>
                </c:pt>
                <c:pt idx="32">
                  <c:v>1227.9409591589301</c:v>
                </c:pt>
                <c:pt idx="33">
                  <c:v>1378.4001743957813</c:v>
                </c:pt>
                <c:pt idx="34">
                  <c:v>1530.141395601559</c:v>
                </c:pt>
                <c:pt idx="35">
                  <c:v>1683.2920151251792</c:v>
                </c:pt>
                <c:pt idx="36">
                  <c:v>1838.2452035952556</c:v>
                </c:pt>
                <c:pt idx="37">
                  <c:v>1994.5215238386461</c:v>
                </c:pt>
                <c:pt idx="38">
                  <c:v>2152.181891931697</c:v>
                </c:pt>
                <c:pt idx="39">
                  <c:v>2311.2329931040954</c:v>
                </c:pt>
                <c:pt idx="40">
                  <c:v>2471.6617888621963</c:v>
                </c:pt>
                <c:pt idx="41">
                  <c:v>2633.45669217673</c:v>
                </c:pt>
                <c:pt idx="42">
                  <c:v>2796.5375616716292</c:v>
                </c:pt>
                <c:pt idx="43">
                  <c:v>2960.8663057612243</c:v>
                </c:pt>
                <c:pt idx="44">
                  <c:v>3126.3635972023908</c:v>
                </c:pt>
                <c:pt idx="45">
                  <c:v>3293.0137709315127</c:v>
                </c:pt>
                <c:pt idx="46">
                  <c:v>3460.7494570813101</c:v>
                </c:pt>
                <c:pt idx="47">
                  <c:v>3629.5097658710674</c:v>
                </c:pt>
                <c:pt idx="48">
                  <c:v>3799.2411373579735</c:v>
                </c:pt>
                <c:pt idx="49">
                  <c:v>3969.84638942128</c:v>
                </c:pt>
                <c:pt idx="50">
                  <c:v>4163.3517057258159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2AF-4A27-BE38-3BC3480C8A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99578496"/>
        <c:axId val="91279824"/>
      </c:lineChart>
      <c:catAx>
        <c:axId val="9957849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91279824"/>
        <c:crosses val="autoZero"/>
        <c:auto val="1"/>
        <c:lblAlgn val="ctr"/>
        <c:lblOffset val="100"/>
        <c:noMultiLvlLbl val="0"/>
      </c:catAx>
      <c:valAx>
        <c:axId val="91279824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lang="en-US" sz="1000" b="0" strike="noStrike" spc="-1">
                    <a:solidFill>
                      <a:srgbClr val="595959"/>
                    </a:solidFill>
                    <a:latin typeface="Calibri"/>
                  </a:defRPr>
                </a:pPr>
                <a:r>
                  <a:rPr lang="en-US" sz="1000" b="0" strike="noStrike" spc="-1">
                    <a:solidFill>
                      <a:srgbClr val="595959"/>
                    </a:solidFill>
                    <a:latin typeface="Calibri"/>
                  </a:rPr>
                  <a:t>GWh</a:t>
                </a:r>
              </a:p>
            </c:rich>
          </c:tx>
          <c:layout>
            <c:manualLayout>
              <c:xMode val="edge"/>
              <c:yMode val="edge"/>
              <c:x val="3.06235201262826E-2"/>
              <c:y val="0.36391226376051899"/>
            </c:manualLayout>
          </c:layout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648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99578496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900" b="0" strike="noStrike" spc="-1">
              <a:solidFill>
                <a:srgbClr val="595959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Estonia - Final Energy consumption of sectors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EST_FEC!$B$2</c:f>
              <c:strCache>
                <c:ptCount val="1"/>
                <c:pt idx="0">
                  <c:v>Industry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EST_FEC!$A$3:$A$53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EST_FEC!$B$3:$B$53</c:f>
              <c:numCache>
                <c:formatCode>0</c:formatCode>
                <c:ptCount val="51"/>
                <c:pt idx="0">
                  <c:v>6747</c:v>
                </c:pt>
                <c:pt idx="1">
                  <c:v>7485</c:v>
                </c:pt>
                <c:pt idx="2">
                  <c:v>6803</c:v>
                </c:pt>
                <c:pt idx="3">
                  <c:v>7730</c:v>
                </c:pt>
                <c:pt idx="4">
                  <c:v>7937</c:v>
                </c:pt>
                <c:pt idx="5">
                  <c:v>8268</c:v>
                </c:pt>
                <c:pt idx="6">
                  <c:v>7968</c:v>
                </c:pt>
                <c:pt idx="7">
                  <c:v>8790</c:v>
                </c:pt>
                <c:pt idx="8">
                  <c:v>8518</c:v>
                </c:pt>
                <c:pt idx="9">
                  <c:v>6167</c:v>
                </c:pt>
                <c:pt idx="10">
                  <c:v>6723</c:v>
                </c:pt>
                <c:pt idx="11">
                  <c:v>6822</c:v>
                </c:pt>
                <c:pt idx="12">
                  <c:v>6570</c:v>
                </c:pt>
                <c:pt idx="13">
                  <c:v>7446</c:v>
                </c:pt>
                <c:pt idx="14">
                  <c:v>6470</c:v>
                </c:pt>
                <c:pt idx="15">
                  <c:v>6229</c:v>
                </c:pt>
                <c:pt idx="16">
                  <c:v>5331</c:v>
                </c:pt>
                <c:pt idx="17">
                  <c:v>5420</c:v>
                </c:pt>
                <c:pt idx="18">
                  <c:v>5657</c:v>
                </c:pt>
                <c:pt idx="19">
                  <c:v>5348</c:v>
                </c:pt>
                <c:pt idx="20">
                  <c:v>4753</c:v>
                </c:pt>
                <c:pt idx="21">
                  <c:v>4464</c:v>
                </c:pt>
                <c:pt idx="22">
                  <c:v>4175</c:v>
                </c:pt>
                <c:pt idx="23">
                  <c:v>3923</c:v>
                </c:pt>
                <c:pt idx="24">
                  <c:v>3948.283383508408</c:v>
                </c:pt>
                <c:pt idx="25">
                  <c:v>3934.8073372262929</c:v>
                </c:pt>
                <c:pt idx="26">
                  <c:v>3914.5846514052428</c:v>
                </c:pt>
                <c:pt idx="27">
                  <c:v>3925.3178110293393</c:v>
                </c:pt>
                <c:pt idx="28">
                  <c:v>3913.8493854529365</c:v>
                </c:pt>
                <c:pt idx="29">
                  <c:v>3902.7428485874339</c:v>
                </c:pt>
                <c:pt idx="30">
                  <c:v>3893.1413092180583</c:v>
                </c:pt>
                <c:pt idx="31">
                  <c:v>3884.3927932386632</c:v>
                </c:pt>
                <c:pt idx="32">
                  <c:v>3876.2617857739006</c:v>
                </c:pt>
                <c:pt idx="33">
                  <c:v>3868.7540310890222</c:v>
                </c:pt>
                <c:pt idx="34">
                  <c:v>3861.9499488975625</c:v>
                </c:pt>
                <c:pt idx="35">
                  <c:v>3855.9385753109327</c:v>
                </c:pt>
                <c:pt idx="36">
                  <c:v>3851.3316745785137</c:v>
                </c:pt>
                <c:pt idx="37">
                  <c:v>3846.8597640795251</c:v>
                </c:pt>
                <c:pt idx="38">
                  <c:v>3842.588902864371</c:v>
                </c:pt>
                <c:pt idx="39">
                  <c:v>3838.4760089436572</c:v>
                </c:pt>
                <c:pt idx="40">
                  <c:v>3834.4578953996083</c:v>
                </c:pt>
                <c:pt idx="41">
                  <c:v>3830.4886081102045</c:v>
                </c:pt>
                <c:pt idx="42">
                  <c:v>3826.4389011072672</c:v>
                </c:pt>
                <c:pt idx="43">
                  <c:v>3822.262820268777</c:v>
                </c:pt>
                <c:pt idx="44">
                  <c:v>3817.8742016159486</c:v>
                </c:pt>
                <c:pt idx="45">
                  <c:v>3813.2787894140338</c:v>
                </c:pt>
                <c:pt idx="46">
                  <c:v>3808.4248852757614</c:v>
                </c:pt>
                <c:pt idx="47">
                  <c:v>3803.2780236096173</c:v>
                </c:pt>
                <c:pt idx="48">
                  <c:v>3797.8180994872173</c:v>
                </c:pt>
                <c:pt idx="49">
                  <c:v>3791.9876702560382</c:v>
                </c:pt>
                <c:pt idx="50">
                  <c:v>3785.720676865677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48-4ADB-A44D-F1DBCB4325A7}"/>
            </c:ext>
          </c:extLst>
        </c:ser>
        <c:ser>
          <c:idx val="1"/>
          <c:order val="1"/>
          <c:tx>
            <c:strRef>
              <c:f>EST_FEC!$C$2</c:f>
              <c:strCache>
                <c:ptCount val="1"/>
                <c:pt idx="0">
                  <c:v>Buildings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EST_FEC!$A$3:$A$53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EST_FEC!$C$3:$C$53</c:f>
              <c:numCache>
                <c:formatCode>0</c:formatCode>
                <c:ptCount val="51"/>
                <c:pt idx="0">
                  <c:v>14133</c:v>
                </c:pt>
                <c:pt idx="1">
                  <c:v>14462</c:v>
                </c:pt>
                <c:pt idx="2">
                  <c:v>14135</c:v>
                </c:pt>
                <c:pt idx="3">
                  <c:v>14689</c:v>
                </c:pt>
                <c:pt idx="4">
                  <c:v>15152</c:v>
                </c:pt>
                <c:pt idx="5">
                  <c:v>14866</c:v>
                </c:pt>
                <c:pt idx="6">
                  <c:v>14869</c:v>
                </c:pt>
                <c:pt idx="7">
                  <c:v>15950</c:v>
                </c:pt>
                <c:pt idx="8">
                  <c:v>16111</c:v>
                </c:pt>
                <c:pt idx="9">
                  <c:v>16153</c:v>
                </c:pt>
                <c:pt idx="10">
                  <c:v>16879</c:v>
                </c:pt>
                <c:pt idx="11">
                  <c:v>15558</c:v>
                </c:pt>
                <c:pt idx="12">
                  <c:v>16220</c:v>
                </c:pt>
                <c:pt idx="13">
                  <c:v>15720</c:v>
                </c:pt>
                <c:pt idx="14">
                  <c:v>15653</c:v>
                </c:pt>
                <c:pt idx="15">
                  <c:v>15387</c:v>
                </c:pt>
                <c:pt idx="16">
                  <c:v>16619</c:v>
                </c:pt>
                <c:pt idx="17">
                  <c:v>16415</c:v>
                </c:pt>
                <c:pt idx="18">
                  <c:v>16649</c:v>
                </c:pt>
                <c:pt idx="19">
                  <c:v>16441</c:v>
                </c:pt>
                <c:pt idx="20">
                  <c:v>16423</c:v>
                </c:pt>
                <c:pt idx="21">
                  <c:v>17179</c:v>
                </c:pt>
                <c:pt idx="22">
                  <c:v>16514</c:v>
                </c:pt>
                <c:pt idx="23">
                  <c:v>15085</c:v>
                </c:pt>
                <c:pt idx="24">
                  <c:v>15243.849178995924</c:v>
                </c:pt>
                <c:pt idx="25">
                  <c:v>15253.486445633022</c:v>
                </c:pt>
                <c:pt idx="26">
                  <c:v>15236.690912534172</c:v>
                </c:pt>
                <c:pt idx="27">
                  <c:v>15340.485848568718</c:v>
                </c:pt>
                <c:pt idx="28">
                  <c:v>15357.754437625741</c:v>
                </c:pt>
                <c:pt idx="29">
                  <c:v>15376.336250901173</c:v>
                </c:pt>
                <c:pt idx="30">
                  <c:v>15400.769445001237</c:v>
                </c:pt>
                <c:pt idx="31">
                  <c:v>15428.535788970255</c:v>
                </c:pt>
                <c:pt idx="32">
                  <c:v>15458.736447514839</c:v>
                </c:pt>
                <c:pt idx="33">
                  <c:v>15491.423723718661</c:v>
                </c:pt>
                <c:pt idx="34">
                  <c:v>15526.95076475715</c:v>
                </c:pt>
                <c:pt idx="35">
                  <c:v>15565.71099265086</c:v>
                </c:pt>
                <c:pt idx="36">
                  <c:v>15610.222663523216</c:v>
                </c:pt>
                <c:pt idx="37">
                  <c:v>15655.388583572405</c:v>
                </c:pt>
                <c:pt idx="38">
                  <c:v>15701.485489561732</c:v>
                </c:pt>
                <c:pt idx="39">
                  <c:v>15748.346775058624</c:v>
                </c:pt>
                <c:pt idx="40">
                  <c:v>15795.720223752305</c:v>
                </c:pt>
                <c:pt idx="41">
                  <c:v>15843.420733839606</c:v>
                </c:pt>
                <c:pt idx="42">
                  <c:v>15890.914250894573</c:v>
                </c:pt>
                <c:pt idx="43">
                  <c:v>15938.005334114221</c:v>
                </c:pt>
                <c:pt idx="44">
                  <c:v>15984.327051341457</c:v>
                </c:pt>
                <c:pt idx="45">
                  <c:v>16029.892915798153</c:v>
                </c:pt>
                <c:pt idx="46">
                  <c:v>16074.474292408244</c:v>
                </c:pt>
                <c:pt idx="47">
                  <c:v>16117.911947448209</c:v>
                </c:pt>
                <c:pt idx="48">
                  <c:v>16160.105273020565</c:v>
                </c:pt>
                <c:pt idx="49">
                  <c:v>16200.792627570849</c:v>
                </c:pt>
                <c:pt idx="50">
                  <c:v>16305.591397796441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48-4ADB-A44D-F1DBCB4325A7}"/>
            </c:ext>
          </c:extLst>
        </c:ser>
        <c:ser>
          <c:idx val="2"/>
          <c:order val="2"/>
          <c:tx>
            <c:strRef>
              <c:f>EST_FEC!$D$2</c:f>
              <c:strCache>
                <c:ptCount val="1"/>
                <c:pt idx="0">
                  <c:v>Transport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EST_FEC!$A$3:$A$53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EST_FEC!$D$3:$D$53</c:f>
              <c:numCache>
                <c:formatCode>0</c:formatCode>
                <c:ptCount val="51"/>
                <c:pt idx="0">
                  <c:v>7732</c:v>
                </c:pt>
                <c:pt idx="1">
                  <c:v>7875</c:v>
                </c:pt>
                <c:pt idx="2">
                  <c:v>7843</c:v>
                </c:pt>
                <c:pt idx="3">
                  <c:v>8131</c:v>
                </c:pt>
                <c:pt idx="4">
                  <c:v>8303</c:v>
                </c:pt>
                <c:pt idx="5">
                  <c:v>9269</c:v>
                </c:pt>
                <c:pt idx="6">
                  <c:v>9391</c:v>
                </c:pt>
                <c:pt idx="7">
                  <c:v>9518</c:v>
                </c:pt>
                <c:pt idx="8">
                  <c:v>8387</c:v>
                </c:pt>
                <c:pt idx="9">
                  <c:v>8843</c:v>
                </c:pt>
                <c:pt idx="10">
                  <c:v>8746</c:v>
                </c:pt>
                <c:pt idx="11">
                  <c:v>8767</c:v>
                </c:pt>
                <c:pt idx="12">
                  <c:v>8684</c:v>
                </c:pt>
                <c:pt idx="13">
                  <c:v>9080</c:v>
                </c:pt>
                <c:pt idx="14">
                  <c:v>8870</c:v>
                </c:pt>
                <c:pt idx="15">
                  <c:v>9078</c:v>
                </c:pt>
                <c:pt idx="16">
                  <c:v>9364</c:v>
                </c:pt>
                <c:pt idx="17">
                  <c:v>9716</c:v>
                </c:pt>
                <c:pt idx="18">
                  <c:v>9688</c:v>
                </c:pt>
                <c:pt idx="19">
                  <c:v>9212</c:v>
                </c:pt>
                <c:pt idx="20">
                  <c:v>9562</c:v>
                </c:pt>
                <c:pt idx="21">
                  <c:v>9326</c:v>
                </c:pt>
                <c:pt idx="22">
                  <c:v>9838</c:v>
                </c:pt>
                <c:pt idx="23">
                  <c:v>9909</c:v>
                </c:pt>
                <c:pt idx="24">
                  <c:v>10026.190917472137</c:v>
                </c:pt>
                <c:pt idx="25">
                  <c:v>10045.400592901144</c:v>
                </c:pt>
                <c:pt idx="26">
                  <c:v>10047.213026134041</c:v>
                </c:pt>
                <c:pt idx="27">
                  <c:v>10128.634048460361</c:v>
                </c:pt>
                <c:pt idx="28">
                  <c:v>10153.044693901214</c:v>
                </c:pt>
                <c:pt idx="29">
                  <c:v>10178.370592043821</c:v>
                </c:pt>
                <c:pt idx="30">
                  <c:v>10207.623054517402</c:v>
                </c:pt>
                <c:pt idx="31">
                  <c:v>10239.14586658575</c:v>
                </c:pt>
                <c:pt idx="32">
                  <c:v>10272.350366194394</c:v>
                </c:pt>
                <c:pt idx="33">
                  <c:v>10307.277691771729</c:v>
                </c:pt>
                <c:pt idx="34">
                  <c:v>10344.169601050578</c:v>
                </c:pt>
                <c:pt idx="35">
                  <c:v>10383.295941460177</c:v>
                </c:pt>
                <c:pt idx="36">
                  <c:v>10426.347140810783</c:v>
                </c:pt>
                <c:pt idx="37">
                  <c:v>10469.929258995515</c:v>
                </c:pt>
                <c:pt idx="38">
                  <c:v>10514.229460771159</c:v>
                </c:pt>
                <c:pt idx="39">
                  <c:v>10559.138608453077</c:v>
                </c:pt>
                <c:pt idx="40">
                  <c:v>10604.489523171136</c:v>
                </c:pt>
                <c:pt idx="41">
                  <c:v>10650.1592777407</c:v>
                </c:pt>
                <c:pt idx="42">
                  <c:v>10695.789438579339</c:v>
                </c:pt>
                <c:pt idx="43">
                  <c:v>10741.247934950721</c:v>
                </c:pt>
                <c:pt idx="44">
                  <c:v>10786.286296080434</c:v>
                </c:pt>
                <c:pt idx="45">
                  <c:v>10830.911833550832</c:v>
                </c:pt>
                <c:pt idx="46">
                  <c:v>10874.968078814851</c:v>
                </c:pt>
                <c:pt idx="47">
                  <c:v>10918.344777582757</c:v>
                </c:pt>
                <c:pt idx="48">
                  <c:v>10960.970880082927</c:v>
                </c:pt>
                <c:pt idx="49">
                  <c:v>11002.665614002059</c:v>
                </c:pt>
                <c:pt idx="50">
                  <c:v>11102.271215268844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A48-4ADB-A44D-F1DBCB4325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20007568"/>
        <c:axId val="1320008048"/>
      </c:lineChart>
      <c:catAx>
        <c:axId val="1320007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0008048"/>
        <c:crosses val="autoZero"/>
        <c:auto val="1"/>
        <c:lblAlgn val="ctr"/>
        <c:lblOffset val="100"/>
        <c:noMultiLvlLbl val="0"/>
      </c:catAx>
      <c:valAx>
        <c:axId val="1320008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00075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None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80">
              <a:noFill/>
            </a:ln>
          </c:spPr>
          <c:marker>
            <c:symbol val="circle"/>
            <c:size val="5"/>
            <c:spPr>
              <a:solidFill>
                <a:srgbClr val="4472C4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LAT_FEC!$A$71:$A$81</c:f>
              <c:numCache>
                <c:formatCode>General</c:formatCode>
                <c:ptCount val="11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</c:numCache>
            </c:numRef>
          </c:xVal>
          <c:yVal>
            <c:numRef>
              <c:f>LAT_FEC!$E$71:$E$81</c:f>
              <c:numCache>
                <c:formatCode>0.000</c:formatCode>
                <c:ptCount val="11"/>
                <c:pt idx="0">
                  <c:v>4.9357885411599751</c:v>
                </c:pt>
                <c:pt idx="1">
                  <c:v>5.0757806018912799</c:v>
                </c:pt>
                <c:pt idx="2">
                  <c:v>5.1645312554518847</c:v>
                </c:pt>
                <c:pt idx="3">
                  <c:v>4.8266503771043876</c:v>
                </c:pt>
                <c:pt idx="4">
                  <c:v>5.1337419320292774</c:v>
                </c:pt>
                <c:pt idx="5">
                  <c:v>5.8640268081657387</c:v>
                </c:pt>
                <c:pt idx="6">
                  <c:v>5.5632132977884048</c:v>
                </c:pt>
                <c:pt idx="7">
                  <c:v>5.7902106291723694</c:v>
                </c:pt>
                <c:pt idx="8">
                  <c:v>6.0732612006431452</c:v>
                </c:pt>
                <c:pt idx="9">
                  <c:v>6.0764623283279668</c:v>
                </c:pt>
                <c:pt idx="10">
                  <c:v>6.2111471511007537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697-425F-A1E7-A21F348C03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071182"/>
        <c:axId val="78130953"/>
      </c:scatterChart>
      <c:valAx>
        <c:axId val="26071182"/>
        <c:scaling>
          <c:orientation val="minMax"/>
        </c:scaling>
        <c:delete val="0"/>
        <c:axPos val="b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BFBFBF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78130953"/>
        <c:crosses val="autoZero"/>
        <c:crossBetween val="midCat"/>
      </c:valAx>
      <c:valAx>
        <c:axId val="78130953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0.000" sourceLinked="0"/>
        <c:majorTickMark val="none"/>
        <c:minorTickMark val="none"/>
        <c:tickLblPos val="nextTo"/>
        <c:spPr>
          <a:ln w="9360">
            <a:solidFill>
              <a:srgbClr val="BFBFBF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26071182"/>
        <c:crosses val="autoZero"/>
        <c:crossBetween val="midCat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None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LAT_FEC!$B$57</c:f>
              <c:strCache>
                <c:ptCount val="1"/>
                <c:pt idx="0">
                  <c:v>Industry FEC GWh</c:v>
                </c:pt>
              </c:strCache>
            </c:strRef>
          </c:tx>
          <c:spPr>
            <a:ln w="28440" cap="rnd">
              <a:solidFill>
                <a:srgbClr val="4472C4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LAT_FEC!$A$58:$A$108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LAT_FEC!$B$58:$B$108</c:f>
              <c:numCache>
                <c:formatCode>0</c:formatCode>
                <c:ptCount val="51"/>
                <c:pt idx="0">
                  <c:v>6686</c:v>
                </c:pt>
                <c:pt idx="1">
                  <c:v>7109</c:v>
                </c:pt>
                <c:pt idx="2">
                  <c:v>7212</c:v>
                </c:pt>
                <c:pt idx="3">
                  <c:v>7296</c:v>
                </c:pt>
                <c:pt idx="4">
                  <c:v>7781</c:v>
                </c:pt>
                <c:pt idx="5">
                  <c:v>8199</c:v>
                </c:pt>
                <c:pt idx="6">
                  <c:v>8627</c:v>
                </c:pt>
                <c:pt idx="7">
                  <c:v>8416</c:v>
                </c:pt>
                <c:pt idx="8">
                  <c:v>8983</c:v>
                </c:pt>
                <c:pt idx="9">
                  <c:v>8302</c:v>
                </c:pt>
                <c:pt idx="10">
                  <c:v>9694</c:v>
                </c:pt>
                <c:pt idx="11">
                  <c:v>9607</c:v>
                </c:pt>
                <c:pt idx="12">
                  <c:v>10540</c:v>
                </c:pt>
                <c:pt idx="13">
                  <c:v>9934</c:v>
                </c:pt>
                <c:pt idx="14">
                  <c:v>10120</c:v>
                </c:pt>
                <c:pt idx="15">
                  <c:v>10213</c:v>
                </c:pt>
                <c:pt idx="16">
                  <c:v>9458</c:v>
                </c:pt>
                <c:pt idx="17">
                  <c:v>9971</c:v>
                </c:pt>
                <c:pt idx="18">
                  <c:v>11301</c:v>
                </c:pt>
                <c:pt idx="19">
                  <c:v>10647</c:v>
                </c:pt>
                <c:pt idx="20">
                  <c:v>11004</c:v>
                </c:pt>
                <c:pt idx="21">
                  <c:v>11445</c:v>
                </c:pt>
                <c:pt idx="22">
                  <c:v>11420</c:v>
                </c:pt>
                <c:pt idx="23">
                  <c:v>11700</c:v>
                </c:pt>
                <c:pt idx="24">
                  <c:v>11598</c:v>
                </c:pt>
                <c:pt idx="25">
                  <c:v>12048.672935108019</c:v>
                </c:pt>
                <c:pt idx="26">
                  <c:v>12157.899747229339</c:v>
                </c:pt>
                <c:pt idx="27">
                  <c:v>12262.948505474909</c:v>
                </c:pt>
                <c:pt idx="28">
                  <c:v>12362.059177504832</c:v>
                </c:pt>
                <c:pt idx="29">
                  <c:v>12462.552526905225</c:v>
                </c:pt>
                <c:pt idx="30">
                  <c:v>12564.557867721687</c:v>
                </c:pt>
                <c:pt idx="31">
                  <c:v>12668.643537514288</c:v>
                </c:pt>
                <c:pt idx="32">
                  <c:v>12776.643298155896</c:v>
                </c:pt>
                <c:pt idx="33">
                  <c:v>12889.434530857088</c:v>
                </c:pt>
                <c:pt idx="34">
                  <c:v>13007.732865890368</c:v>
                </c:pt>
                <c:pt idx="35">
                  <c:v>13142.613255858423</c:v>
                </c:pt>
                <c:pt idx="36">
                  <c:v>13282.947431829949</c:v>
                </c:pt>
                <c:pt idx="37">
                  <c:v>13428.030549545845</c:v>
                </c:pt>
                <c:pt idx="38">
                  <c:v>13578.526702197965</c:v>
                </c:pt>
                <c:pt idx="39">
                  <c:v>13732.957117100435</c:v>
                </c:pt>
                <c:pt idx="40">
                  <c:v>13892.11888615478</c:v>
                </c:pt>
                <c:pt idx="41">
                  <c:v>14056.072086380063</c:v>
                </c:pt>
                <c:pt idx="42">
                  <c:v>14224.234751017482</c:v>
                </c:pt>
                <c:pt idx="43">
                  <c:v>14396.37773907884</c:v>
                </c:pt>
                <c:pt idx="44">
                  <c:v>14572.207914911938</c:v>
                </c:pt>
                <c:pt idx="45">
                  <c:v>14751.963232896078</c:v>
                </c:pt>
                <c:pt idx="46">
                  <c:v>14935.411056769473</c:v>
                </c:pt>
                <c:pt idx="47">
                  <c:v>15122.343869985234</c:v>
                </c:pt>
                <c:pt idx="48">
                  <c:v>15312.850531987444</c:v>
                </c:pt>
                <c:pt idx="49">
                  <c:v>15507.526036046385</c:v>
                </c:pt>
                <c:pt idx="50">
                  <c:v>15704.266429035395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19-4C3A-ABA7-355B9C16E3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17297048"/>
        <c:axId val="26985281"/>
      </c:lineChart>
      <c:catAx>
        <c:axId val="172970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26985281"/>
        <c:crosses val="autoZero"/>
        <c:auto val="1"/>
        <c:lblAlgn val="ctr"/>
        <c:lblOffset val="100"/>
        <c:noMultiLvlLbl val="0"/>
      </c:catAx>
      <c:valAx>
        <c:axId val="26985281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648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1729704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None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82737568472817"/>
          <c:y val="0.19438203066601031"/>
          <c:w val="0.86171929785255796"/>
          <c:h val="0.66477747999051939"/>
        </c:manualLayout>
      </c:layout>
      <c:lineChart>
        <c:grouping val="standard"/>
        <c:varyColors val="0"/>
        <c:ser>
          <c:idx val="0"/>
          <c:order val="0"/>
          <c:tx>
            <c:strRef>
              <c:f>LAT_FEC!$B$110</c:f>
              <c:strCache>
                <c:ptCount val="1"/>
                <c:pt idx="0">
                  <c:v>Buildings FEC GWh</c:v>
                </c:pt>
              </c:strCache>
            </c:strRef>
          </c:tx>
          <c:spPr>
            <a:ln w="28440" cap="rnd">
              <a:solidFill>
                <a:srgbClr val="4472C4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LAT_FEC!$A$111:$A$161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LAT_FEC!$B$111:$B$161</c:f>
              <c:numCache>
                <c:formatCode>0</c:formatCode>
                <c:ptCount val="51"/>
                <c:pt idx="0">
                  <c:v>20927.794519999999</c:v>
                </c:pt>
                <c:pt idx="1">
                  <c:v>22613.073646000001</c:v>
                </c:pt>
                <c:pt idx="2">
                  <c:v>22865.018292000001</c:v>
                </c:pt>
                <c:pt idx="3">
                  <c:v>24004.185870000001</c:v>
                </c:pt>
                <c:pt idx="4">
                  <c:v>24070.019256</c:v>
                </c:pt>
                <c:pt idx="5">
                  <c:v>24413.630642</c:v>
                </c:pt>
                <c:pt idx="6">
                  <c:v>24618.353028000001</c:v>
                </c:pt>
                <c:pt idx="7">
                  <c:v>24904.742146000001</c:v>
                </c:pt>
                <c:pt idx="8">
                  <c:v>23987</c:v>
                </c:pt>
                <c:pt idx="9">
                  <c:v>24523</c:v>
                </c:pt>
                <c:pt idx="10">
                  <c:v>23144</c:v>
                </c:pt>
                <c:pt idx="11">
                  <c:v>21942</c:v>
                </c:pt>
                <c:pt idx="12">
                  <c:v>23259</c:v>
                </c:pt>
                <c:pt idx="13">
                  <c:v>21759</c:v>
                </c:pt>
                <c:pt idx="14">
                  <c:v>21500</c:v>
                </c:pt>
                <c:pt idx="15">
                  <c:v>19702</c:v>
                </c:pt>
                <c:pt idx="16">
                  <c:v>20243</c:v>
                </c:pt>
                <c:pt idx="17">
                  <c:v>20994</c:v>
                </c:pt>
                <c:pt idx="18">
                  <c:v>21199</c:v>
                </c:pt>
                <c:pt idx="19">
                  <c:v>20428</c:v>
                </c:pt>
                <c:pt idx="20">
                  <c:v>19383</c:v>
                </c:pt>
                <c:pt idx="21">
                  <c:v>20939</c:v>
                </c:pt>
                <c:pt idx="22">
                  <c:v>19589</c:v>
                </c:pt>
                <c:pt idx="23">
                  <c:v>18750</c:v>
                </c:pt>
                <c:pt idx="24">
                  <c:v>19027</c:v>
                </c:pt>
                <c:pt idx="25">
                  <c:v>18240.805470007679</c:v>
                </c:pt>
                <c:pt idx="26">
                  <c:v>17889.905531149408</c:v>
                </c:pt>
                <c:pt idx="27">
                  <c:v>17538.364303719136</c:v>
                </c:pt>
                <c:pt idx="28">
                  <c:v>17184.214836463321</c:v>
                </c:pt>
                <c:pt idx="29">
                  <c:v>16838.00251815865</c:v>
                </c:pt>
                <c:pt idx="30">
                  <c:v>16499.678130237735</c:v>
                </c:pt>
                <c:pt idx="31">
                  <c:v>16169.741266346722</c:v>
                </c:pt>
                <c:pt idx="32">
                  <c:v>15850.187992917767</c:v>
                </c:pt>
                <c:pt idx="33">
                  <c:v>15541.617111310588</c:v>
                </c:pt>
                <c:pt idx="34">
                  <c:v>15244.340574842698</c:v>
                </c:pt>
                <c:pt idx="35">
                  <c:v>14970.401724460453</c:v>
                </c:pt>
                <c:pt idx="36">
                  <c:v>14705.87510663681</c:v>
                </c:pt>
                <c:pt idx="37">
                  <c:v>14449.520417999331</c:v>
                </c:pt>
                <c:pt idx="38">
                  <c:v>14201.63858187876</c:v>
                </c:pt>
                <c:pt idx="39">
                  <c:v>13960.293930178295</c:v>
                </c:pt>
                <c:pt idx="40">
                  <c:v>13725.990143337267</c:v>
                </c:pt>
                <c:pt idx="41">
                  <c:v>13498.448694653798</c:v>
                </c:pt>
                <c:pt idx="42">
                  <c:v>13276.802304760613</c:v>
                </c:pt>
                <c:pt idx="43">
                  <c:v>13060.581205605344</c:v>
                </c:pt>
                <c:pt idx="44">
                  <c:v>12849.295667799433</c:v>
                </c:pt>
                <c:pt idx="45">
                  <c:v>12642.95166931679</c:v>
                </c:pt>
                <c:pt idx="46">
                  <c:v>12441.150087142878</c:v>
                </c:pt>
                <c:pt idx="47">
                  <c:v>12243.544155048601</c:v>
                </c:pt>
                <c:pt idx="48">
                  <c:v>12050.048055692712</c:v>
                </c:pt>
                <c:pt idx="49">
                  <c:v>11860.962899689839</c:v>
                </c:pt>
                <c:pt idx="50">
                  <c:v>11674.539962381392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DD-45BE-86A4-B891AFD17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77585891"/>
        <c:axId val="81926199"/>
      </c:lineChart>
      <c:catAx>
        <c:axId val="7758589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81926199"/>
        <c:crosses val="autoZero"/>
        <c:auto val="1"/>
        <c:lblAlgn val="ctr"/>
        <c:lblOffset val="100"/>
        <c:noMultiLvlLbl val="0"/>
      </c:catAx>
      <c:valAx>
        <c:axId val="81926199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0" sourceLinked="0"/>
        <c:majorTickMark val="none"/>
        <c:minorTickMark val="none"/>
        <c:tickLblPos val="nextTo"/>
        <c:spPr>
          <a:ln w="648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7758589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None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LAT_FEC!$B$163</c:f>
              <c:strCache>
                <c:ptCount val="1"/>
                <c:pt idx="0">
                  <c:v>Transport FEC GWh</c:v>
                </c:pt>
              </c:strCache>
            </c:strRef>
          </c:tx>
          <c:spPr>
            <a:ln w="28440" cap="rnd">
              <a:solidFill>
                <a:srgbClr val="4472C4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LAT_FEC!$A$164:$A$214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LAT_FEC!$B$164:$B$214</c:f>
              <c:numCache>
                <c:formatCode>0</c:formatCode>
                <c:ptCount val="51"/>
                <c:pt idx="0">
                  <c:v>8410.8400619999993</c:v>
                </c:pt>
                <c:pt idx="1">
                  <c:v>9915.0079320000004</c:v>
                </c:pt>
                <c:pt idx="2">
                  <c:v>10170.008136</c:v>
                </c:pt>
                <c:pt idx="3">
                  <c:v>10708.064122</c:v>
                </c:pt>
                <c:pt idx="4">
                  <c:v>11234.453432</c:v>
                </c:pt>
                <c:pt idx="5">
                  <c:v>11746.120508</c:v>
                </c:pt>
                <c:pt idx="6">
                  <c:v>12963.89926</c:v>
                </c:pt>
                <c:pt idx="7">
                  <c:v>14595.011676</c:v>
                </c:pt>
                <c:pt idx="8">
                  <c:v>15175</c:v>
                </c:pt>
                <c:pt idx="9">
                  <c:v>13445</c:v>
                </c:pt>
                <c:pt idx="10">
                  <c:v>14126</c:v>
                </c:pt>
                <c:pt idx="11">
                  <c:v>12773</c:v>
                </c:pt>
                <c:pt idx="12">
                  <c:v>12420</c:v>
                </c:pt>
                <c:pt idx="13">
                  <c:v>12588</c:v>
                </c:pt>
                <c:pt idx="14">
                  <c:v>12860</c:v>
                </c:pt>
                <c:pt idx="15">
                  <c:v>13605</c:v>
                </c:pt>
                <c:pt idx="16">
                  <c:v>13827</c:v>
                </c:pt>
                <c:pt idx="17">
                  <c:v>14430</c:v>
                </c:pt>
                <c:pt idx="18">
                  <c:v>15054</c:v>
                </c:pt>
                <c:pt idx="19">
                  <c:v>14993</c:v>
                </c:pt>
                <c:pt idx="20">
                  <c:v>13078</c:v>
                </c:pt>
                <c:pt idx="21">
                  <c:v>13783</c:v>
                </c:pt>
                <c:pt idx="22">
                  <c:v>13860</c:v>
                </c:pt>
                <c:pt idx="23">
                  <c:v>13779</c:v>
                </c:pt>
                <c:pt idx="24">
                  <c:v>12970</c:v>
                </c:pt>
                <c:pt idx="25">
                  <c:v>14061.775663925129</c:v>
                </c:pt>
                <c:pt idx="26">
                  <c:v>14125.182351577423</c:v>
                </c:pt>
                <c:pt idx="27">
                  <c:v>14182.897537431789</c:v>
                </c:pt>
                <c:pt idx="28">
                  <c:v>14232.966746034601</c:v>
                </c:pt>
                <c:pt idx="29">
                  <c:v>14283.879369219307</c:v>
                </c:pt>
                <c:pt idx="30">
                  <c:v>14335.76715701642</c:v>
                </c:pt>
                <c:pt idx="31">
                  <c:v>14389.258002619408</c:v>
                </c:pt>
                <c:pt idx="32">
                  <c:v>14446.39911483216</c:v>
                </c:pt>
                <c:pt idx="33">
                  <c:v>14508.124020132131</c:v>
                </c:pt>
                <c:pt idx="34">
                  <c:v>14575.167669933184</c:v>
                </c:pt>
                <c:pt idx="35">
                  <c:v>14659.806363799516</c:v>
                </c:pt>
                <c:pt idx="36">
                  <c:v>14749.439444897411</c:v>
                </c:pt>
                <c:pt idx="37">
                  <c:v>14843.213611813726</c:v>
                </c:pt>
                <c:pt idx="38">
                  <c:v>14941.796704200615</c:v>
                </c:pt>
                <c:pt idx="39">
                  <c:v>15043.496593733145</c:v>
                </c:pt>
                <c:pt idx="40">
                  <c:v>15149.132879371264</c:v>
                </c:pt>
                <c:pt idx="41">
                  <c:v>15258.709859233402</c:v>
                </c:pt>
                <c:pt idx="42">
                  <c:v>15371.537398658815</c:v>
                </c:pt>
                <c:pt idx="43">
                  <c:v>15487.316863092472</c:v>
                </c:pt>
                <c:pt idx="44">
                  <c:v>15605.686034233942</c:v>
                </c:pt>
                <c:pt idx="45">
                  <c:v>15726.855014401408</c:v>
                </c:pt>
                <c:pt idx="46">
                  <c:v>15850.530320749798</c:v>
                </c:pt>
                <c:pt idx="47">
                  <c:v>15976.449917114525</c:v>
                </c:pt>
                <c:pt idx="48">
                  <c:v>16104.667843785146</c:v>
                </c:pt>
                <c:pt idx="49">
                  <c:v>16235.766740481369</c:v>
                </c:pt>
                <c:pt idx="50">
                  <c:v>16367.505458322834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6E-47B2-B429-2D8BE8E524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70048498"/>
        <c:axId val="77170847"/>
      </c:lineChart>
      <c:catAx>
        <c:axId val="7004849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77170847"/>
        <c:crosses val="autoZero"/>
        <c:auto val="1"/>
        <c:lblAlgn val="ctr"/>
        <c:lblOffset val="100"/>
        <c:noMultiLvlLbl val="0"/>
      </c:catAx>
      <c:valAx>
        <c:axId val="77170847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0" sourceLinked="0"/>
        <c:majorTickMark val="none"/>
        <c:minorTickMark val="none"/>
        <c:tickLblPos val="nextTo"/>
        <c:spPr>
          <a:ln w="648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7004849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lang="en-US" sz="1400" b="0" strike="noStrike" spc="-1">
                <a:solidFill>
                  <a:srgbClr val="595959"/>
                </a:solidFill>
                <a:latin typeface="Calibri"/>
              </a:defRPr>
            </a:pPr>
            <a:r>
              <a:rPr lang="en-US" sz="1400" b="0" strike="noStrike" spc="-1">
                <a:solidFill>
                  <a:srgbClr val="595959"/>
                </a:solidFill>
                <a:latin typeface="Calibri"/>
              </a:rPr>
              <a:t>Latvia FEC sectors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LAT_FEC!$B$2</c:f>
              <c:strCache>
                <c:ptCount val="1"/>
                <c:pt idx="0">
                  <c:v>Industry</c:v>
                </c:pt>
              </c:strCache>
            </c:strRef>
          </c:tx>
          <c:spPr>
            <a:ln w="28440" cap="rnd">
              <a:solidFill>
                <a:srgbClr val="4472C4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LAT_FEC!$A$3:$A$53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LAT_FEC!$B$3:$B$53</c:f>
              <c:numCache>
                <c:formatCode>0</c:formatCode>
                <c:ptCount val="51"/>
                <c:pt idx="0">
                  <c:v>6686</c:v>
                </c:pt>
                <c:pt idx="1">
                  <c:v>7109</c:v>
                </c:pt>
                <c:pt idx="2">
                  <c:v>7212</c:v>
                </c:pt>
                <c:pt idx="3">
                  <c:v>7296</c:v>
                </c:pt>
                <c:pt idx="4">
                  <c:v>7781</c:v>
                </c:pt>
                <c:pt idx="5">
                  <c:v>8199</c:v>
                </c:pt>
                <c:pt idx="6">
                  <c:v>8627</c:v>
                </c:pt>
                <c:pt idx="7">
                  <c:v>8416</c:v>
                </c:pt>
                <c:pt idx="8">
                  <c:v>8983</c:v>
                </c:pt>
                <c:pt idx="9">
                  <c:v>8302</c:v>
                </c:pt>
                <c:pt idx="10">
                  <c:v>9694</c:v>
                </c:pt>
                <c:pt idx="11">
                  <c:v>9607</c:v>
                </c:pt>
                <c:pt idx="12">
                  <c:v>10540</c:v>
                </c:pt>
                <c:pt idx="13">
                  <c:v>9934</c:v>
                </c:pt>
                <c:pt idx="14">
                  <c:v>10120</c:v>
                </c:pt>
                <c:pt idx="15">
                  <c:v>10213</c:v>
                </c:pt>
                <c:pt idx="16">
                  <c:v>9458</c:v>
                </c:pt>
                <c:pt idx="17">
                  <c:v>9971</c:v>
                </c:pt>
                <c:pt idx="18">
                  <c:v>11301</c:v>
                </c:pt>
                <c:pt idx="19">
                  <c:v>10647</c:v>
                </c:pt>
                <c:pt idx="20">
                  <c:v>11004</c:v>
                </c:pt>
                <c:pt idx="21">
                  <c:v>11445</c:v>
                </c:pt>
                <c:pt idx="22">
                  <c:v>11420</c:v>
                </c:pt>
                <c:pt idx="23">
                  <c:v>11700</c:v>
                </c:pt>
                <c:pt idx="24">
                  <c:v>11598</c:v>
                </c:pt>
                <c:pt idx="25">
                  <c:v>12048.672935108019</c:v>
                </c:pt>
                <c:pt idx="26">
                  <c:v>12157.899747229339</c:v>
                </c:pt>
                <c:pt idx="27">
                  <c:v>12262.948505474909</c:v>
                </c:pt>
                <c:pt idx="28">
                  <c:v>12362.059177504832</c:v>
                </c:pt>
                <c:pt idx="29">
                  <c:v>12462.552526905225</c:v>
                </c:pt>
                <c:pt idx="30">
                  <c:v>12564.557867721687</c:v>
                </c:pt>
                <c:pt idx="31">
                  <c:v>12668.643537514288</c:v>
                </c:pt>
                <c:pt idx="32">
                  <c:v>12776.643298155896</c:v>
                </c:pt>
                <c:pt idx="33">
                  <c:v>12889.434530857088</c:v>
                </c:pt>
                <c:pt idx="34">
                  <c:v>13007.732865890368</c:v>
                </c:pt>
                <c:pt idx="35">
                  <c:v>13142.613255858423</c:v>
                </c:pt>
                <c:pt idx="36">
                  <c:v>13282.947431829949</c:v>
                </c:pt>
                <c:pt idx="37">
                  <c:v>13428.030549545845</c:v>
                </c:pt>
                <c:pt idx="38">
                  <c:v>13578.526702197965</c:v>
                </c:pt>
                <c:pt idx="39">
                  <c:v>13732.957117100435</c:v>
                </c:pt>
                <c:pt idx="40">
                  <c:v>13892.11888615478</c:v>
                </c:pt>
                <c:pt idx="41">
                  <c:v>14056.072086380063</c:v>
                </c:pt>
                <c:pt idx="42">
                  <c:v>14224.234751017482</c:v>
                </c:pt>
                <c:pt idx="43">
                  <c:v>14396.37773907884</c:v>
                </c:pt>
                <c:pt idx="44">
                  <c:v>14572.207914911938</c:v>
                </c:pt>
                <c:pt idx="45">
                  <c:v>14751.963232896078</c:v>
                </c:pt>
                <c:pt idx="46">
                  <c:v>14935.411056769473</c:v>
                </c:pt>
                <c:pt idx="47">
                  <c:v>15122.343869985234</c:v>
                </c:pt>
                <c:pt idx="48">
                  <c:v>15312.850531987444</c:v>
                </c:pt>
                <c:pt idx="49">
                  <c:v>15507.526036046385</c:v>
                </c:pt>
                <c:pt idx="50">
                  <c:v>15704.266429035395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9A-4218-906C-B3E9A39CBE29}"/>
            </c:ext>
          </c:extLst>
        </c:ser>
        <c:ser>
          <c:idx val="1"/>
          <c:order val="1"/>
          <c:tx>
            <c:strRef>
              <c:f>LAT_FEC!$C$2</c:f>
              <c:strCache>
                <c:ptCount val="1"/>
                <c:pt idx="0">
                  <c:v>Buildings</c:v>
                </c:pt>
              </c:strCache>
            </c:strRef>
          </c:tx>
          <c:spPr>
            <a:ln w="28440" cap="rnd">
              <a:solidFill>
                <a:srgbClr val="ED7D31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LAT_FEC!$A$3:$A$53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LAT_FEC!$C$3:$C$53</c:f>
              <c:numCache>
                <c:formatCode>0</c:formatCode>
                <c:ptCount val="51"/>
                <c:pt idx="0">
                  <c:v>20927.794519999999</c:v>
                </c:pt>
                <c:pt idx="1">
                  <c:v>22613.073646000001</c:v>
                </c:pt>
                <c:pt idx="2">
                  <c:v>22865.018292000001</c:v>
                </c:pt>
                <c:pt idx="3">
                  <c:v>24004.185870000001</c:v>
                </c:pt>
                <c:pt idx="4">
                  <c:v>24070.019256</c:v>
                </c:pt>
                <c:pt idx="5">
                  <c:v>24413.630642</c:v>
                </c:pt>
                <c:pt idx="6">
                  <c:v>24618.353028000001</c:v>
                </c:pt>
                <c:pt idx="7">
                  <c:v>24904.742146000001</c:v>
                </c:pt>
                <c:pt idx="8">
                  <c:v>23987</c:v>
                </c:pt>
                <c:pt idx="9">
                  <c:v>24523</c:v>
                </c:pt>
                <c:pt idx="10">
                  <c:v>23144</c:v>
                </c:pt>
                <c:pt idx="11">
                  <c:v>21942</c:v>
                </c:pt>
                <c:pt idx="12">
                  <c:v>23259</c:v>
                </c:pt>
                <c:pt idx="13">
                  <c:v>21759</c:v>
                </c:pt>
                <c:pt idx="14">
                  <c:v>21500</c:v>
                </c:pt>
                <c:pt idx="15">
                  <c:v>19702</c:v>
                </c:pt>
                <c:pt idx="16">
                  <c:v>20243</c:v>
                </c:pt>
                <c:pt idx="17">
                  <c:v>20994</c:v>
                </c:pt>
                <c:pt idx="18">
                  <c:v>21199</c:v>
                </c:pt>
                <c:pt idx="19">
                  <c:v>20428</c:v>
                </c:pt>
                <c:pt idx="20">
                  <c:v>19383</c:v>
                </c:pt>
                <c:pt idx="21">
                  <c:v>20939</c:v>
                </c:pt>
                <c:pt idx="22">
                  <c:v>19589</c:v>
                </c:pt>
                <c:pt idx="23">
                  <c:v>18750</c:v>
                </c:pt>
                <c:pt idx="24">
                  <c:v>19027</c:v>
                </c:pt>
                <c:pt idx="25">
                  <c:v>18240.805470007679</c:v>
                </c:pt>
                <c:pt idx="26">
                  <c:v>17889.905531149408</c:v>
                </c:pt>
                <c:pt idx="27">
                  <c:v>17538.364303719136</c:v>
                </c:pt>
                <c:pt idx="28">
                  <c:v>17184.214836463321</c:v>
                </c:pt>
                <c:pt idx="29">
                  <c:v>16838.00251815865</c:v>
                </c:pt>
                <c:pt idx="30">
                  <c:v>16499.678130237735</c:v>
                </c:pt>
                <c:pt idx="31">
                  <c:v>16169.741266346722</c:v>
                </c:pt>
                <c:pt idx="32">
                  <c:v>15850.187992917767</c:v>
                </c:pt>
                <c:pt idx="33">
                  <c:v>15541.617111310588</c:v>
                </c:pt>
                <c:pt idx="34">
                  <c:v>15244.340574842698</c:v>
                </c:pt>
                <c:pt idx="35">
                  <c:v>14970.401724460453</c:v>
                </c:pt>
                <c:pt idx="36">
                  <c:v>14705.87510663681</c:v>
                </c:pt>
                <c:pt idx="37">
                  <c:v>14449.520417999331</c:v>
                </c:pt>
                <c:pt idx="38">
                  <c:v>14201.63858187876</c:v>
                </c:pt>
                <c:pt idx="39">
                  <c:v>13960.293930178295</c:v>
                </c:pt>
                <c:pt idx="40">
                  <c:v>13725.990143337267</c:v>
                </c:pt>
                <c:pt idx="41">
                  <c:v>13498.448694653798</c:v>
                </c:pt>
                <c:pt idx="42">
                  <c:v>13276.802304760613</c:v>
                </c:pt>
                <c:pt idx="43">
                  <c:v>13060.581205605344</c:v>
                </c:pt>
                <c:pt idx="44">
                  <c:v>12849.295667799433</c:v>
                </c:pt>
                <c:pt idx="45">
                  <c:v>12642.95166931679</c:v>
                </c:pt>
                <c:pt idx="46">
                  <c:v>12441.150087142878</c:v>
                </c:pt>
                <c:pt idx="47">
                  <c:v>12243.544155048601</c:v>
                </c:pt>
                <c:pt idx="48">
                  <c:v>12050.048055692712</c:v>
                </c:pt>
                <c:pt idx="49">
                  <c:v>11860.962899689839</c:v>
                </c:pt>
                <c:pt idx="50">
                  <c:v>11674.539962381392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9A-4218-906C-B3E9A39CBE29}"/>
            </c:ext>
          </c:extLst>
        </c:ser>
        <c:ser>
          <c:idx val="2"/>
          <c:order val="2"/>
          <c:tx>
            <c:strRef>
              <c:f>LAT_FEC!$D$2</c:f>
              <c:strCache>
                <c:ptCount val="1"/>
                <c:pt idx="0">
                  <c:v>Transport</c:v>
                </c:pt>
              </c:strCache>
            </c:strRef>
          </c:tx>
          <c:spPr>
            <a:ln w="28440" cap="rnd">
              <a:solidFill>
                <a:srgbClr val="A5A5A5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LAT_FEC!$A$3:$A$53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LAT_FEC!$D$3:$D$53</c:f>
              <c:numCache>
                <c:formatCode>0</c:formatCode>
                <c:ptCount val="51"/>
                <c:pt idx="0">
                  <c:v>8410.8400619999993</c:v>
                </c:pt>
                <c:pt idx="1">
                  <c:v>9915.0079320000004</c:v>
                </c:pt>
                <c:pt idx="2">
                  <c:v>10170.008136</c:v>
                </c:pt>
                <c:pt idx="3">
                  <c:v>10708.064122</c:v>
                </c:pt>
                <c:pt idx="4">
                  <c:v>11234.453432</c:v>
                </c:pt>
                <c:pt idx="5">
                  <c:v>11746.120508</c:v>
                </c:pt>
                <c:pt idx="6">
                  <c:v>12963.89926</c:v>
                </c:pt>
                <c:pt idx="7">
                  <c:v>14595.011676</c:v>
                </c:pt>
                <c:pt idx="8">
                  <c:v>15175</c:v>
                </c:pt>
                <c:pt idx="9">
                  <c:v>13445</c:v>
                </c:pt>
                <c:pt idx="10">
                  <c:v>14126</c:v>
                </c:pt>
                <c:pt idx="11">
                  <c:v>12773</c:v>
                </c:pt>
                <c:pt idx="12">
                  <c:v>12420</c:v>
                </c:pt>
                <c:pt idx="13">
                  <c:v>12588</c:v>
                </c:pt>
                <c:pt idx="14">
                  <c:v>12860</c:v>
                </c:pt>
                <c:pt idx="15">
                  <c:v>13605</c:v>
                </c:pt>
                <c:pt idx="16">
                  <c:v>13827</c:v>
                </c:pt>
                <c:pt idx="17">
                  <c:v>14430</c:v>
                </c:pt>
                <c:pt idx="18">
                  <c:v>15054</c:v>
                </c:pt>
                <c:pt idx="19">
                  <c:v>14993</c:v>
                </c:pt>
                <c:pt idx="20">
                  <c:v>13078</c:v>
                </c:pt>
                <c:pt idx="21">
                  <c:v>13783</c:v>
                </c:pt>
                <c:pt idx="22">
                  <c:v>13860</c:v>
                </c:pt>
                <c:pt idx="23">
                  <c:v>13779</c:v>
                </c:pt>
                <c:pt idx="24">
                  <c:v>12970</c:v>
                </c:pt>
                <c:pt idx="25">
                  <c:v>14061.775663925129</c:v>
                </c:pt>
                <c:pt idx="26">
                  <c:v>14125.182351577423</c:v>
                </c:pt>
                <c:pt idx="27">
                  <c:v>14182.897537431789</c:v>
                </c:pt>
                <c:pt idx="28">
                  <c:v>14232.966746034601</c:v>
                </c:pt>
                <c:pt idx="29">
                  <c:v>14283.879369219307</c:v>
                </c:pt>
                <c:pt idx="30">
                  <c:v>14335.76715701642</c:v>
                </c:pt>
                <c:pt idx="31">
                  <c:v>14389.258002619408</c:v>
                </c:pt>
                <c:pt idx="32">
                  <c:v>14446.39911483216</c:v>
                </c:pt>
                <c:pt idx="33">
                  <c:v>14508.124020132131</c:v>
                </c:pt>
                <c:pt idx="34">
                  <c:v>14575.167669933184</c:v>
                </c:pt>
                <c:pt idx="35">
                  <c:v>14659.806363799516</c:v>
                </c:pt>
                <c:pt idx="36">
                  <c:v>14749.439444897411</c:v>
                </c:pt>
                <c:pt idx="37">
                  <c:v>14843.213611813726</c:v>
                </c:pt>
                <c:pt idx="38">
                  <c:v>14941.796704200615</c:v>
                </c:pt>
                <c:pt idx="39">
                  <c:v>15043.496593733145</c:v>
                </c:pt>
                <c:pt idx="40">
                  <c:v>15149.132879371264</c:v>
                </c:pt>
                <c:pt idx="41">
                  <c:v>15258.709859233402</c:v>
                </c:pt>
                <c:pt idx="42">
                  <c:v>15371.537398658815</c:v>
                </c:pt>
                <c:pt idx="43">
                  <c:v>15487.316863092472</c:v>
                </c:pt>
                <c:pt idx="44">
                  <c:v>15605.686034233942</c:v>
                </c:pt>
                <c:pt idx="45">
                  <c:v>15726.855014401408</c:v>
                </c:pt>
                <c:pt idx="46">
                  <c:v>15850.530320749798</c:v>
                </c:pt>
                <c:pt idx="47">
                  <c:v>15976.449917114525</c:v>
                </c:pt>
                <c:pt idx="48">
                  <c:v>16104.667843785146</c:v>
                </c:pt>
                <c:pt idx="49">
                  <c:v>16235.766740481369</c:v>
                </c:pt>
                <c:pt idx="50">
                  <c:v>16367.505458322834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9A-4218-906C-B3E9A39CB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23114433"/>
        <c:axId val="46627310"/>
      </c:lineChart>
      <c:catAx>
        <c:axId val="23114433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46627310"/>
        <c:crosses val="autoZero"/>
        <c:auto val="1"/>
        <c:lblAlgn val="ctr"/>
        <c:lblOffset val="100"/>
        <c:noMultiLvlLbl val="0"/>
      </c:catAx>
      <c:valAx>
        <c:axId val="46627310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648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23114433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900" b="0" strike="noStrike" spc="-1">
              <a:solidFill>
                <a:srgbClr val="595959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lang="en-US" sz="1400" b="0" strike="noStrike" spc="-1">
                <a:solidFill>
                  <a:srgbClr val="595959"/>
                </a:solidFill>
                <a:latin typeface="Calibri"/>
              </a:defRPr>
            </a:pPr>
            <a:r>
              <a:rPr lang="en-US" sz="1400" b="0" strike="noStrike" spc="-1">
                <a:solidFill>
                  <a:srgbClr val="595959"/>
                </a:solidFill>
                <a:latin typeface="Calibri"/>
              </a:rPr>
              <a:t>APS scenario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LAT_FEC!$R$1:$R$2</c:f>
              <c:strCache>
                <c:ptCount val="2"/>
                <c:pt idx="0">
                  <c:v>APS</c:v>
                </c:pt>
                <c:pt idx="1">
                  <c:v>Industry</c:v>
                </c:pt>
              </c:strCache>
            </c:strRef>
          </c:tx>
          <c:spPr>
            <a:ln w="28440" cap="rnd">
              <a:solidFill>
                <a:srgbClr val="4472C4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LAT_FEC!$A$3:$A$53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LAT_FEC!$R$3:$R$53</c:f>
              <c:numCache>
                <c:formatCode>0</c:formatCode>
                <c:ptCount val="51"/>
                <c:pt idx="0">
                  <c:v>1432.8730264251294</c:v>
                </c:pt>
                <c:pt idx="1">
                  <c:v>1544.9637791583657</c:v>
                </c:pt>
                <c:pt idx="2">
                  <c:v>1525.9038594869421</c:v>
                </c:pt>
                <c:pt idx="3">
                  <c:v>1604.9755577552746</c:v>
                </c:pt>
                <c:pt idx="4">
                  <c:v>1633.923887044373</c:v>
                </c:pt>
                <c:pt idx="5">
                  <c:v>1700.0230383520798</c:v>
                </c:pt>
                <c:pt idx="6">
                  <c:v>1758.9568521380747</c:v>
                </c:pt>
                <c:pt idx="7">
                  <c:v>1815.7494306742767</c:v>
                </c:pt>
                <c:pt idx="8">
                  <c:v>1706.77</c:v>
                </c:pt>
                <c:pt idx="9">
                  <c:v>1494.36</c:v>
                </c:pt>
                <c:pt idx="10">
                  <c:v>1551.04</c:v>
                </c:pt>
                <c:pt idx="11">
                  <c:v>1633.19</c:v>
                </c:pt>
                <c:pt idx="12">
                  <c:v>2002.6000000000001</c:v>
                </c:pt>
                <c:pt idx="13">
                  <c:v>1788.12</c:v>
                </c:pt>
                <c:pt idx="14">
                  <c:v>1619.2</c:v>
                </c:pt>
                <c:pt idx="15">
                  <c:v>1736.21</c:v>
                </c:pt>
                <c:pt idx="16">
                  <c:v>1702.4399999999998</c:v>
                </c:pt>
                <c:pt idx="17">
                  <c:v>1794.78</c:v>
                </c:pt>
                <c:pt idx="18">
                  <c:v>1808.16</c:v>
                </c:pt>
                <c:pt idx="19">
                  <c:v>1809.9900000000002</c:v>
                </c:pt>
                <c:pt idx="20">
                  <c:v>1870.68</c:v>
                </c:pt>
                <c:pt idx="21">
                  <c:v>1945.65</c:v>
                </c:pt>
                <c:pt idx="22">
                  <c:v>1827.2</c:v>
                </c:pt>
                <c:pt idx="23">
                  <c:v>1755</c:v>
                </c:pt>
                <c:pt idx="24">
                  <c:v>1938.5228571428572</c:v>
                </c:pt>
                <c:pt idx="25">
                  <c:v>2220.3982980413352</c:v>
                </c:pt>
                <c:pt idx="26">
                  <c:v>2448.948377656196</c:v>
                </c:pt>
                <c:pt idx="27">
                  <c:v>2680.3301733395165</c:v>
                </c:pt>
                <c:pt idx="28">
                  <c:v>2913.9139489832824</c:v>
                </c:pt>
                <c:pt idx="29">
                  <c:v>3151.2454246603215</c:v>
                </c:pt>
                <c:pt idx="30">
                  <c:v>3392.4306242848556</c:v>
                </c:pt>
                <c:pt idx="31">
                  <c:v>3249.5070673724149</c:v>
                </c:pt>
                <c:pt idx="32">
                  <c:v>3104.7243214518826</c:v>
                </c:pt>
                <c:pt idx="33">
                  <c:v>2958.1252248317014</c:v>
                </c:pt>
                <c:pt idx="34">
                  <c:v>2809.6702990323192</c:v>
                </c:pt>
                <c:pt idx="35">
                  <c:v>2661.3791843113299</c:v>
                </c:pt>
                <c:pt idx="36">
                  <c:v>2510.4770646158595</c:v>
                </c:pt>
                <c:pt idx="37">
                  <c:v>2356.619361445295</c:v>
                </c:pt>
                <c:pt idx="38">
                  <c:v>2199.7213257560693</c:v>
                </c:pt>
                <c:pt idx="39">
                  <c:v>2039.3441318894133</c:v>
                </c:pt>
                <c:pt idx="40">
                  <c:v>1875.4360496308939</c:v>
                </c:pt>
                <c:pt idx="41">
                  <c:v>1707.8127584951762</c:v>
                </c:pt>
                <c:pt idx="42">
                  <c:v>1536.2173531098867</c:v>
                </c:pt>
                <c:pt idx="43">
                  <c:v>1360.457696342949</c:v>
                </c:pt>
                <c:pt idx="44">
                  <c:v>1180.3488411078656</c:v>
                </c:pt>
                <c:pt idx="45">
                  <c:v>995.75751822048392</c:v>
                </c:pt>
                <c:pt idx="46">
                  <c:v>806.51219706555025</c:v>
                </c:pt>
                <c:pt idx="47">
                  <c:v>612.4549267344006</c:v>
                </c:pt>
                <c:pt idx="48">
                  <c:v>413.44696436365962</c:v>
                </c:pt>
                <c:pt idx="49">
                  <c:v>209.35160148662479</c:v>
                </c:pt>
                <c:pt idx="5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1F-4613-AC5B-66AACA727482}"/>
            </c:ext>
          </c:extLst>
        </c:ser>
        <c:ser>
          <c:idx val="1"/>
          <c:order val="1"/>
          <c:tx>
            <c:strRef>
              <c:f>LAT_FEC!$S$1:$S$2</c:f>
              <c:strCache>
                <c:ptCount val="2"/>
                <c:pt idx="0">
                  <c:v>APS</c:v>
                </c:pt>
                <c:pt idx="1">
                  <c:v>Buildings</c:v>
                </c:pt>
              </c:strCache>
            </c:strRef>
          </c:tx>
          <c:spPr>
            <a:ln w="28440" cap="rnd">
              <a:solidFill>
                <a:srgbClr val="ED7D31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LAT_FEC!$A$3:$A$53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LAT_FEC!$S$3:$S$53</c:f>
              <c:numCache>
                <c:formatCode>0</c:formatCode>
                <c:ptCount val="51"/>
                <c:pt idx="0">
                  <c:v>2720.6132876000001</c:v>
                </c:pt>
                <c:pt idx="1">
                  <c:v>2713.5688375199998</c:v>
                </c:pt>
                <c:pt idx="2">
                  <c:v>2972.4523779600004</c:v>
                </c:pt>
                <c:pt idx="3">
                  <c:v>3360.5860218000007</c:v>
                </c:pt>
                <c:pt idx="4">
                  <c:v>3369.8026958400001</c:v>
                </c:pt>
                <c:pt idx="5">
                  <c:v>3662.0445962999997</c:v>
                </c:pt>
                <c:pt idx="6">
                  <c:v>3938.9364844800002</c:v>
                </c:pt>
                <c:pt idx="7">
                  <c:v>4482.8535862799999</c:v>
                </c:pt>
                <c:pt idx="8">
                  <c:v>4557.53</c:v>
                </c:pt>
                <c:pt idx="9">
                  <c:v>4414.1399999999994</c:v>
                </c:pt>
                <c:pt idx="10">
                  <c:v>4397.3599999999997</c:v>
                </c:pt>
                <c:pt idx="11">
                  <c:v>4168.9800000000005</c:v>
                </c:pt>
                <c:pt idx="12">
                  <c:v>4651.8</c:v>
                </c:pt>
                <c:pt idx="13">
                  <c:v>4569.3899999999994</c:v>
                </c:pt>
                <c:pt idx="14">
                  <c:v>4730</c:v>
                </c:pt>
                <c:pt idx="15">
                  <c:v>4531.46</c:v>
                </c:pt>
                <c:pt idx="16">
                  <c:v>4453.46</c:v>
                </c:pt>
                <c:pt idx="17">
                  <c:v>4408.74</c:v>
                </c:pt>
                <c:pt idx="18">
                  <c:v>4451.79</c:v>
                </c:pt>
                <c:pt idx="19">
                  <c:v>4494.16</c:v>
                </c:pt>
                <c:pt idx="20">
                  <c:v>4264.26</c:v>
                </c:pt>
                <c:pt idx="21">
                  <c:v>4397.1899999999996</c:v>
                </c:pt>
                <c:pt idx="22">
                  <c:v>4309.58</c:v>
                </c:pt>
                <c:pt idx="23">
                  <c:v>4312.5</c:v>
                </c:pt>
                <c:pt idx="24">
                  <c:v>4838.2942857142853</c:v>
                </c:pt>
                <c:pt idx="25">
                  <c:v>5081.3672380735679</c:v>
                </c:pt>
                <c:pt idx="26">
                  <c:v>5418.0856751481069</c:v>
                </c:pt>
                <c:pt idx="27">
                  <c:v>5737.5506079309753</c:v>
                </c:pt>
                <c:pt idx="28">
                  <c:v>6039.0240710999678</c:v>
                </c:pt>
                <c:pt idx="29">
                  <c:v>6326.2780889653222</c:v>
                </c:pt>
                <c:pt idx="30">
                  <c:v>6599.871252095094</c:v>
                </c:pt>
                <c:pt idx="31">
                  <c:v>6548.7452128704226</c:v>
                </c:pt>
                <c:pt idx="32">
                  <c:v>6498.5770770962845</c:v>
                </c:pt>
                <c:pt idx="33">
                  <c:v>6449.7711011938945</c:v>
                </c:pt>
                <c:pt idx="34">
                  <c:v>6402.6230414339334</c:v>
                </c:pt>
                <c:pt idx="35">
                  <c:v>6362.4207328956927</c:v>
                </c:pt>
                <c:pt idx="36">
                  <c:v>6323.5262958538287</c:v>
                </c:pt>
                <c:pt idx="37">
                  <c:v>6285.5413818297093</c:v>
                </c:pt>
                <c:pt idx="38">
                  <c:v>6248.7209760266551</c:v>
                </c:pt>
                <c:pt idx="39">
                  <c:v>6212.3307989293426</c:v>
                </c:pt>
                <c:pt idx="40">
                  <c:v>6176.6955645017715</c:v>
                </c:pt>
                <c:pt idx="41">
                  <c:v>6141.794156067479</c:v>
                </c:pt>
                <c:pt idx="42">
                  <c:v>6107.3290601898834</c:v>
                </c:pt>
                <c:pt idx="43">
                  <c:v>6073.1702606064855</c:v>
                </c:pt>
                <c:pt idx="44">
                  <c:v>6039.1689638657344</c:v>
                </c:pt>
                <c:pt idx="45">
                  <c:v>6005.4020429254761</c:v>
                </c:pt>
                <c:pt idx="46">
                  <c:v>5971.7520418285822</c:v>
                </c:pt>
                <c:pt idx="47">
                  <c:v>5938.1189151985727</c:v>
                </c:pt>
                <c:pt idx="48">
                  <c:v>5904.5235472894301</c:v>
                </c:pt>
                <c:pt idx="49">
                  <c:v>5871.1766353464718</c:v>
                </c:pt>
                <c:pt idx="50">
                  <c:v>5837.2699811906959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1F-4613-AC5B-66AACA727482}"/>
            </c:ext>
          </c:extLst>
        </c:ser>
        <c:ser>
          <c:idx val="2"/>
          <c:order val="2"/>
          <c:tx>
            <c:strRef>
              <c:f>LAT_FEC!$T$1:$T$2</c:f>
              <c:strCache>
                <c:ptCount val="2"/>
                <c:pt idx="0">
                  <c:v>APS</c:v>
                </c:pt>
                <c:pt idx="1">
                  <c:v>Transport</c:v>
                </c:pt>
              </c:strCache>
            </c:strRef>
          </c:tx>
          <c:spPr>
            <a:ln w="28440" cap="rnd">
              <a:solidFill>
                <a:srgbClr val="A5A5A5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LAT_FEC!$A$3:$A$53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LAT_FEC!$T$3:$T$53</c:f>
              <c:numCache>
                <c:formatCode>0</c:formatCode>
                <c:ptCount val="51"/>
                <c:pt idx="0">
                  <c:v>151.94456600000026</c:v>
                </c:pt>
                <c:pt idx="1">
                  <c:v>172.77791600000015</c:v>
                </c:pt>
                <c:pt idx="2">
                  <c:v>143.88900400000014</c:v>
                </c:pt>
                <c:pt idx="3">
                  <c:v>135.83344200000002</c:v>
                </c:pt>
                <c:pt idx="4">
                  <c:v>138.88899999999998</c:v>
                </c:pt>
                <c:pt idx="5">
                  <c:v>147.7778960000006</c:v>
                </c:pt>
                <c:pt idx="6">
                  <c:v>150.00011999999987</c:v>
                </c:pt>
                <c:pt idx="7">
                  <c:v>139.72233400000005</c:v>
                </c:pt>
                <c:pt idx="8">
                  <c:v>136.57499999999999</c:v>
                </c:pt>
                <c:pt idx="9">
                  <c:v>121.005</c:v>
                </c:pt>
                <c:pt idx="10">
                  <c:v>127.13399999999999</c:v>
                </c:pt>
                <c:pt idx="11">
                  <c:v>127.73</c:v>
                </c:pt>
                <c:pt idx="12">
                  <c:v>124.2</c:v>
                </c:pt>
                <c:pt idx="13">
                  <c:v>125.88000000000001</c:v>
                </c:pt>
                <c:pt idx="14">
                  <c:v>115.74</c:v>
                </c:pt>
                <c:pt idx="15">
                  <c:v>108.84</c:v>
                </c:pt>
                <c:pt idx="16">
                  <c:v>110.616</c:v>
                </c:pt>
                <c:pt idx="17">
                  <c:v>101.01</c:v>
                </c:pt>
                <c:pt idx="18">
                  <c:v>105.378</c:v>
                </c:pt>
                <c:pt idx="19">
                  <c:v>104.95100000000001</c:v>
                </c:pt>
                <c:pt idx="20">
                  <c:v>91.546000000000006</c:v>
                </c:pt>
                <c:pt idx="21">
                  <c:v>96.481000000000009</c:v>
                </c:pt>
                <c:pt idx="22">
                  <c:v>97.02</c:v>
                </c:pt>
                <c:pt idx="23">
                  <c:v>110.232</c:v>
                </c:pt>
                <c:pt idx="24">
                  <c:v>100.0542857142857</c:v>
                </c:pt>
                <c:pt idx="25">
                  <c:v>449.97682124560413</c:v>
                </c:pt>
                <c:pt idx="26">
                  <c:v>795.04597807450068</c:v>
                </c:pt>
                <c:pt idx="27">
                  <c:v>1142.7363158730755</c:v>
                </c:pt>
                <c:pt idx="28">
                  <c:v>1492.4282273699139</c:v>
                </c:pt>
                <c:pt idx="29">
                  <c:v>1844.6609928248934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D1F-4613-AC5B-66AACA727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86962467"/>
        <c:axId val="41948240"/>
      </c:lineChart>
      <c:catAx>
        <c:axId val="86962467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41948240"/>
        <c:crosses val="autoZero"/>
        <c:auto val="1"/>
        <c:lblAlgn val="ctr"/>
        <c:lblOffset val="100"/>
        <c:noMultiLvlLbl val="0"/>
      </c:catAx>
      <c:valAx>
        <c:axId val="41948240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lang="en-US" sz="1000" b="0" strike="noStrike" spc="-1">
                    <a:solidFill>
                      <a:srgbClr val="595959"/>
                    </a:solidFill>
                    <a:latin typeface="Calibri"/>
                  </a:defRPr>
                </a:pPr>
                <a:r>
                  <a:rPr lang="en-US" sz="1000" b="0" strike="noStrike" spc="-1">
                    <a:solidFill>
                      <a:srgbClr val="595959"/>
                    </a:solidFill>
                    <a:latin typeface="Calibri"/>
                  </a:rPr>
                  <a:t>GWh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648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86962467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900" b="0" strike="noStrike" spc="-1">
              <a:solidFill>
                <a:srgbClr val="595959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lang="en-US" sz="1400" b="0" strike="noStrike" spc="-1">
                <a:solidFill>
                  <a:srgbClr val="595959"/>
                </a:solidFill>
                <a:latin typeface="Calibri"/>
              </a:defRPr>
            </a:pPr>
            <a:r>
              <a:rPr lang="en-US" sz="1400" b="0" strike="noStrike" spc="-1">
                <a:solidFill>
                  <a:srgbClr val="595959"/>
                </a:solidFill>
                <a:latin typeface="Calibri"/>
              </a:rPr>
              <a:t>EURELECTRIC scenario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LAT_FEC!$V$1:$V$2</c:f>
              <c:strCache>
                <c:ptCount val="2"/>
                <c:pt idx="0">
                  <c:v>EUROELECTRIC</c:v>
                </c:pt>
                <c:pt idx="1">
                  <c:v>Industry</c:v>
                </c:pt>
              </c:strCache>
            </c:strRef>
          </c:tx>
          <c:spPr>
            <a:ln w="28440" cap="rnd">
              <a:solidFill>
                <a:srgbClr val="4472C4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LAT_FEC!$A$3:$A$53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LAT_FEC!$V$3:$V$53</c:f>
              <c:numCache>
                <c:formatCode>0</c:formatCode>
                <c:ptCount val="51"/>
                <c:pt idx="0">
                  <c:v>1432.8730264251294</c:v>
                </c:pt>
                <c:pt idx="1">
                  <c:v>1544.9637791583657</c:v>
                </c:pt>
                <c:pt idx="2">
                  <c:v>1525.9038594869421</c:v>
                </c:pt>
                <c:pt idx="3">
                  <c:v>1604.9755577552746</c:v>
                </c:pt>
                <c:pt idx="4">
                  <c:v>1633.923887044373</c:v>
                </c:pt>
                <c:pt idx="5">
                  <c:v>1700.0230383520798</c:v>
                </c:pt>
                <c:pt idx="6">
                  <c:v>1758.9568521380747</c:v>
                </c:pt>
                <c:pt idx="7">
                  <c:v>1815.7494306742767</c:v>
                </c:pt>
                <c:pt idx="8">
                  <c:v>1706.77</c:v>
                </c:pt>
                <c:pt idx="9">
                  <c:v>1494.36</c:v>
                </c:pt>
                <c:pt idx="10">
                  <c:v>1551.04</c:v>
                </c:pt>
                <c:pt idx="11">
                  <c:v>1633.19</c:v>
                </c:pt>
                <c:pt idx="12">
                  <c:v>2002.6000000000001</c:v>
                </c:pt>
                <c:pt idx="13">
                  <c:v>1788.12</c:v>
                </c:pt>
                <c:pt idx="14">
                  <c:v>1619.2</c:v>
                </c:pt>
                <c:pt idx="15">
                  <c:v>1736.21</c:v>
                </c:pt>
                <c:pt idx="16">
                  <c:v>1702.4399999999998</c:v>
                </c:pt>
                <c:pt idx="17">
                  <c:v>1794.78</c:v>
                </c:pt>
                <c:pt idx="18">
                  <c:v>1808.16</c:v>
                </c:pt>
                <c:pt idx="19">
                  <c:v>1809.9900000000002</c:v>
                </c:pt>
                <c:pt idx="20">
                  <c:v>1870.68</c:v>
                </c:pt>
                <c:pt idx="21">
                  <c:v>1945.65</c:v>
                </c:pt>
                <c:pt idx="22">
                  <c:v>1827.2</c:v>
                </c:pt>
                <c:pt idx="23">
                  <c:v>1755</c:v>
                </c:pt>
                <c:pt idx="24">
                  <c:v>1925.268</c:v>
                </c:pt>
                <c:pt idx="25">
                  <c:v>2236.5349135794263</c:v>
                </c:pt>
                <c:pt idx="26">
                  <c:v>2495.4089231188223</c:v>
                </c:pt>
                <c:pt idx="27">
                  <c:v>2757.6305451686703</c:v>
                </c:pt>
                <c:pt idx="28">
                  <c:v>3022.5234688999317</c:v>
                </c:pt>
                <c:pt idx="29">
                  <c:v>3291.6716861688424</c:v>
                </c:pt>
                <c:pt idx="30">
                  <c:v>3565.1932949660286</c:v>
                </c:pt>
                <c:pt idx="31">
                  <c:v>3843.3497331933972</c:v>
                </c:pt>
                <c:pt idx="32">
                  <c:v>4126.855785304354</c:v>
                </c:pt>
                <c:pt idx="33">
                  <c:v>4416.2425061349104</c:v>
                </c:pt>
                <c:pt idx="34">
                  <c:v>4712.051230668786</c:v>
                </c:pt>
                <c:pt idx="35">
                  <c:v>5018.8354370809357</c:v>
                </c:pt>
                <c:pt idx="36">
                  <c:v>5333.1033938797245</c:v>
                </c:pt>
                <c:pt idx="37">
                  <c:v>5654.879365177494</c:v>
                </c:pt>
                <c:pt idx="38">
                  <c:v>5984.7356439937539</c:v>
                </c:pt>
                <c:pt idx="39">
                  <c:v>6322.3101327851136</c:v>
                </c:pt>
                <c:pt idx="40">
                  <c:v>6668.2170653542944</c:v>
                </c:pt>
                <c:pt idx="41">
                  <c:v>6943.6996106717515</c:v>
                </c:pt>
                <c:pt idx="42">
                  <c:v>7225.9112535168815</c:v>
                </c:pt>
                <c:pt idx="43">
                  <c:v>7514.909179799155</c:v>
                </c:pt>
                <c:pt idx="44">
                  <c:v>7810.7034423927989</c:v>
                </c:pt>
                <c:pt idx="45">
                  <c:v>8113.5797780928433</c:v>
                </c:pt>
                <c:pt idx="46">
                  <c:v>8423.5718360179835</c:v>
                </c:pt>
                <c:pt idx="47">
                  <c:v>8740.7147568514665</c:v>
                </c:pt>
                <c:pt idx="48">
                  <c:v>9065.2075149365683</c:v>
                </c:pt>
                <c:pt idx="49">
                  <c:v>9397.5607778441117</c:v>
                </c:pt>
                <c:pt idx="50">
                  <c:v>9736.6451860019442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C5-4C6B-A1E2-DCBBC3BB26B9}"/>
            </c:ext>
          </c:extLst>
        </c:ser>
        <c:ser>
          <c:idx val="1"/>
          <c:order val="1"/>
          <c:tx>
            <c:strRef>
              <c:f>LAT_FEC!$W$1:$W$2</c:f>
              <c:strCache>
                <c:ptCount val="2"/>
                <c:pt idx="0">
                  <c:v>EUROELECTRIC</c:v>
                </c:pt>
                <c:pt idx="1">
                  <c:v>Buildings</c:v>
                </c:pt>
              </c:strCache>
            </c:strRef>
          </c:tx>
          <c:spPr>
            <a:ln w="28440" cap="rnd">
              <a:solidFill>
                <a:srgbClr val="ED7D31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LAT_FEC!$A$3:$A$53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LAT_FEC!$W$3:$W$53</c:f>
              <c:numCache>
                <c:formatCode>0</c:formatCode>
                <c:ptCount val="51"/>
                <c:pt idx="0">
                  <c:v>2720.6132876000001</c:v>
                </c:pt>
                <c:pt idx="1">
                  <c:v>2713.5688375199998</c:v>
                </c:pt>
                <c:pt idx="2">
                  <c:v>2972.4523779600004</c:v>
                </c:pt>
                <c:pt idx="3">
                  <c:v>3360.5860218000007</c:v>
                </c:pt>
                <c:pt idx="4">
                  <c:v>3369.8026958400001</c:v>
                </c:pt>
                <c:pt idx="5">
                  <c:v>3662.0445962999997</c:v>
                </c:pt>
                <c:pt idx="6">
                  <c:v>3938.9364844800002</c:v>
                </c:pt>
                <c:pt idx="7">
                  <c:v>4482.8535862799999</c:v>
                </c:pt>
                <c:pt idx="8">
                  <c:v>4557.53</c:v>
                </c:pt>
                <c:pt idx="9">
                  <c:v>4414.1399999999994</c:v>
                </c:pt>
                <c:pt idx="10">
                  <c:v>4397.3599999999997</c:v>
                </c:pt>
                <c:pt idx="11">
                  <c:v>4168.9800000000005</c:v>
                </c:pt>
                <c:pt idx="12">
                  <c:v>4651.8</c:v>
                </c:pt>
                <c:pt idx="13">
                  <c:v>4569.3899999999994</c:v>
                </c:pt>
                <c:pt idx="14">
                  <c:v>4730</c:v>
                </c:pt>
                <c:pt idx="15">
                  <c:v>4531.46</c:v>
                </c:pt>
                <c:pt idx="16">
                  <c:v>4453.46</c:v>
                </c:pt>
                <c:pt idx="17">
                  <c:v>4408.74</c:v>
                </c:pt>
                <c:pt idx="18">
                  <c:v>4451.79</c:v>
                </c:pt>
                <c:pt idx="19">
                  <c:v>4494.16</c:v>
                </c:pt>
                <c:pt idx="20">
                  <c:v>4264.26</c:v>
                </c:pt>
                <c:pt idx="21">
                  <c:v>4397.1899999999996</c:v>
                </c:pt>
                <c:pt idx="22">
                  <c:v>4309.58</c:v>
                </c:pt>
                <c:pt idx="23">
                  <c:v>4312.5</c:v>
                </c:pt>
                <c:pt idx="24">
                  <c:v>4745.5576470588239</c:v>
                </c:pt>
                <c:pt idx="25">
                  <c:v>4903.5577057608889</c:v>
                </c:pt>
                <c:pt idx="26">
                  <c:v>5156.5021825077711</c:v>
                </c:pt>
                <c:pt idx="27">
                  <c:v>5395.6261946147697</c:v>
                </c:pt>
                <c:pt idx="28">
                  <c:v>5620.2490876903576</c:v>
                </c:pt>
                <c:pt idx="29">
                  <c:v>5833.8726371737912</c:v>
                </c:pt>
                <c:pt idx="30">
                  <c:v>6036.9410570634536</c:v>
                </c:pt>
                <c:pt idx="31">
                  <c:v>6230.1061937982959</c:v>
                </c:pt>
                <c:pt idx="32">
                  <c:v>6414.6643171337792</c:v>
                </c:pt>
                <c:pt idx="33">
                  <c:v>6591.4740807381968</c:v>
                </c:pt>
                <c:pt idx="34">
                  <c:v>6761.3134079008205</c:v>
                </c:pt>
                <c:pt idx="35">
                  <c:v>6930.4153865590451</c:v>
                </c:pt>
                <c:pt idx="36">
                  <c:v>7093.4221102601086</c:v>
                </c:pt>
                <c:pt idx="37">
                  <c:v>7250.2593626784883</c:v>
                </c:pt>
                <c:pt idx="38">
                  <c:v>7401.5598726732842</c:v>
                </c:pt>
                <c:pt idx="39">
                  <c:v>7546.7706599022677</c:v>
                </c:pt>
                <c:pt idx="40">
                  <c:v>7686.5544802688701</c:v>
                </c:pt>
                <c:pt idx="41">
                  <c:v>7613.1250637847434</c:v>
                </c:pt>
                <c:pt idx="42">
                  <c:v>7541.2237091040288</c:v>
                </c:pt>
                <c:pt idx="43">
                  <c:v>7470.6524496062575</c:v>
                </c:pt>
                <c:pt idx="44">
                  <c:v>7401.1943046524748</c:v>
                </c:pt>
                <c:pt idx="45">
                  <c:v>7332.911968203739</c:v>
                </c:pt>
                <c:pt idx="46">
                  <c:v>7265.6316508914415</c:v>
                </c:pt>
                <c:pt idx="47">
                  <c:v>7199.2039631685784</c:v>
                </c:pt>
                <c:pt idx="48">
                  <c:v>7133.6284489700865</c:v>
                </c:pt>
                <c:pt idx="49">
                  <c:v>7069.1338882151449</c:v>
                </c:pt>
                <c:pt idx="50">
                  <c:v>7004.7239774288346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C5-4C6B-A1E2-DCBBC3BB26B9}"/>
            </c:ext>
          </c:extLst>
        </c:ser>
        <c:ser>
          <c:idx val="2"/>
          <c:order val="2"/>
          <c:tx>
            <c:strRef>
              <c:f>LAT_FEC!$X$1:$X$2</c:f>
              <c:strCache>
                <c:ptCount val="2"/>
                <c:pt idx="0">
                  <c:v>EUROELECTRIC</c:v>
                </c:pt>
                <c:pt idx="1">
                  <c:v>Transport</c:v>
                </c:pt>
              </c:strCache>
            </c:strRef>
          </c:tx>
          <c:spPr>
            <a:ln w="28440" cap="rnd">
              <a:solidFill>
                <a:srgbClr val="A5A5A5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LAT_FEC!$A$3:$A$53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LAT_FEC!$X$3:$X$53</c:f>
              <c:numCache>
                <c:formatCode>0</c:formatCode>
                <c:ptCount val="51"/>
                <c:pt idx="0">
                  <c:v>151.94456600000026</c:v>
                </c:pt>
                <c:pt idx="1">
                  <c:v>172.77791600000015</c:v>
                </c:pt>
                <c:pt idx="2">
                  <c:v>143.88900400000014</c:v>
                </c:pt>
                <c:pt idx="3">
                  <c:v>135.83344200000002</c:v>
                </c:pt>
                <c:pt idx="4">
                  <c:v>138.88899999999998</c:v>
                </c:pt>
                <c:pt idx="5">
                  <c:v>147.7778960000006</c:v>
                </c:pt>
                <c:pt idx="6">
                  <c:v>150.00011999999987</c:v>
                </c:pt>
                <c:pt idx="7">
                  <c:v>139.72233400000005</c:v>
                </c:pt>
                <c:pt idx="8">
                  <c:v>136.57499999999999</c:v>
                </c:pt>
                <c:pt idx="9">
                  <c:v>121.005</c:v>
                </c:pt>
                <c:pt idx="10">
                  <c:v>127.13399999999999</c:v>
                </c:pt>
                <c:pt idx="11">
                  <c:v>127.73</c:v>
                </c:pt>
                <c:pt idx="12">
                  <c:v>124.2</c:v>
                </c:pt>
                <c:pt idx="13">
                  <c:v>125.88000000000001</c:v>
                </c:pt>
                <c:pt idx="14">
                  <c:v>115.74</c:v>
                </c:pt>
                <c:pt idx="15">
                  <c:v>108.84</c:v>
                </c:pt>
                <c:pt idx="16">
                  <c:v>110.616</c:v>
                </c:pt>
                <c:pt idx="17">
                  <c:v>101.01</c:v>
                </c:pt>
                <c:pt idx="18">
                  <c:v>105.378</c:v>
                </c:pt>
                <c:pt idx="19">
                  <c:v>104.95100000000001</c:v>
                </c:pt>
                <c:pt idx="20">
                  <c:v>91.546000000000006</c:v>
                </c:pt>
                <c:pt idx="21">
                  <c:v>96.481000000000009</c:v>
                </c:pt>
                <c:pt idx="22">
                  <c:v>97.02</c:v>
                </c:pt>
                <c:pt idx="23">
                  <c:v>110.232</c:v>
                </c:pt>
                <c:pt idx="24">
                  <c:v>142.66999999999999</c:v>
                </c:pt>
                <c:pt idx="25">
                  <c:v>408.67035523282402</c:v>
                </c:pt>
                <c:pt idx="26">
                  <c:v>665.64921831808601</c:v>
                </c:pt>
                <c:pt idx="27">
                  <c:v>924.54763322133465</c:v>
                </c:pt>
                <c:pt idx="28">
                  <c:v>1184.8944816073804</c:v>
                </c:pt>
                <c:pt idx="29">
                  <c:v>1447.1355285940308</c:v>
                </c:pt>
                <c:pt idx="30">
                  <c:v>1711.3322043688349</c:v>
                </c:pt>
                <c:pt idx="31">
                  <c:v>1977.6236467350047</c:v>
                </c:pt>
                <c:pt idx="32">
                  <c:v>2246.415062356401</c:v>
                </c:pt>
                <c:pt idx="33">
                  <c:v>2518.0662752441831</c:v>
                </c:pt>
                <c:pt idx="34">
                  <c:v>2792.9665047509466</c:v>
                </c:pt>
                <c:pt idx="35">
                  <c:v>3073.9781469092113</c:v>
                </c:pt>
                <c:pt idx="36">
                  <c:v>3359.1848335753857</c:v>
                </c:pt>
                <c:pt idx="37">
                  <c:v>3648.6474459539622</c:v>
                </c:pt>
                <c:pt idx="38">
                  <c:v>3942.7666053209377</c:v>
                </c:pt>
                <c:pt idx="39">
                  <c:v>4241.3258208956386</c:v>
                </c:pt>
                <c:pt idx="40">
                  <c:v>4544.7398638113791</c:v>
                </c:pt>
                <c:pt idx="41">
                  <c:v>5035.3742535470219</c:v>
                </c:pt>
                <c:pt idx="42">
                  <c:v>5533.7534635171733</c:v>
                </c:pt>
                <c:pt idx="43">
                  <c:v>6040.0535766060639</c:v>
                </c:pt>
                <c:pt idx="44">
                  <c:v>6554.3881343782568</c:v>
                </c:pt>
                <c:pt idx="45">
                  <c:v>7077.0847564806345</c:v>
                </c:pt>
                <c:pt idx="46">
                  <c:v>7608.254553959905</c:v>
                </c:pt>
                <c:pt idx="47">
                  <c:v>8147.9894577284094</c:v>
                </c:pt>
                <c:pt idx="48">
                  <c:v>8696.5206356439812</c:v>
                </c:pt>
                <c:pt idx="49">
                  <c:v>9254.3870420743824</c:v>
                </c:pt>
                <c:pt idx="50">
                  <c:v>9820.5032749937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3C5-4C6B-A1E2-DCBBC3BB26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50103456"/>
        <c:axId val="28765923"/>
      </c:lineChart>
      <c:catAx>
        <c:axId val="501034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28765923"/>
        <c:crosses val="autoZero"/>
        <c:auto val="1"/>
        <c:lblAlgn val="ctr"/>
        <c:lblOffset val="100"/>
        <c:noMultiLvlLbl val="0"/>
      </c:catAx>
      <c:valAx>
        <c:axId val="28765923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lang="en-US" sz="1000" b="0" strike="noStrike" spc="-1">
                    <a:solidFill>
                      <a:srgbClr val="595959"/>
                    </a:solidFill>
                    <a:latin typeface="Calibri"/>
                  </a:defRPr>
                </a:pPr>
                <a:r>
                  <a:rPr lang="en-US" sz="1000" b="0" strike="noStrike" spc="-1">
                    <a:solidFill>
                      <a:srgbClr val="595959"/>
                    </a:solidFill>
                    <a:latin typeface="Calibri"/>
                  </a:rPr>
                  <a:t>GWh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648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50103456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900" b="0" strike="noStrike" spc="-1">
              <a:solidFill>
                <a:srgbClr val="595959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lang="en-US" sz="1400" b="0" strike="noStrike" spc="-1">
                <a:solidFill>
                  <a:srgbClr val="595959"/>
                </a:solidFill>
                <a:latin typeface="Calibri"/>
              </a:defRPr>
            </a:pPr>
            <a:r>
              <a:rPr lang="en-US" sz="1400" b="0" strike="noStrike" spc="-1">
                <a:solidFill>
                  <a:srgbClr val="595959"/>
                </a:solidFill>
                <a:latin typeface="Calibri"/>
              </a:rPr>
              <a:t>JRC scenario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LAT_FEC!$Z$1:$Z$2</c:f>
              <c:strCache>
                <c:ptCount val="2"/>
                <c:pt idx="0">
                  <c:v>JRC</c:v>
                </c:pt>
                <c:pt idx="1">
                  <c:v>Industry</c:v>
                </c:pt>
              </c:strCache>
            </c:strRef>
          </c:tx>
          <c:spPr>
            <a:ln w="28440" cap="rnd">
              <a:solidFill>
                <a:srgbClr val="4472C4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LAT_FEC!$A$3:$A$53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LAT_FEC!$Z$3:$Z$53</c:f>
              <c:numCache>
                <c:formatCode>0</c:formatCode>
                <c:ptCount val="51"/>
                <c:pt idx="0">
                  <c:v>1432.8730264251294</c:v>
                </c:pt>
                <c:pt idx="1">
                  <c:v>1544.9637791583657</c:v>
                </c:pt>
                <c:pt idx="2">
                  <c:v>1525.9038594869421</c:v>
                </c:pt>
                <c:pt idx="3">
                  <c:v>1604.9755577552746</c:v>
                </c:pt>
                <c:pt idx="4">
                  <c:v>1633.923887044373</c:v>
                </c:pt>
                <c:pt idx="5">
                  <c:v>1700.0230383520798</c:v>
                </c:pt>
                <c:pt idx="6">
                  <c:v>1758.9568521380747</c:v>
                </c:pt>
                <c:pt idx="7">
                  <c:v>1815.7494306742767</c:v>
                </c:pt>
                <c:pt idx="8">
                  <c:v>1706.77</c:v>
                </c:pt>
                <c:pt idx="9">
                  <c:v>1494.36</c:v>
                </c:pt>
                <c:pt idx="10">
                  <c:v>1551.04</c:v>
                </c:pt>
                <c:pt idx="11">
                  <c:v>1633.19</c:v>
                </c:pt>
                <c:pt idx="12">
                  <c:v>2002.6000000000001</c:v>
                </c:pt>
                <c:pt idx="13">
                  <c:v>1788.12</c:v>
                </c:pt>
                <c:pt idx="14">
                  <c:v>1619.2</c:v>
                </c:pt>
                <c:pt idx="15">
                  <c:v>1736.21</c:v>
                </c:pt>
                <c:pt idx="16">
                  <c:v>1702.4399999999998</c:v>
                </c:pt>
                <c:pt idx="17">
                  <c:v>1794.78</c:v>
                </c:pt>
                <c:pt idx="18">
                  <c:v>1808.16</c:v>
                </c:pt>
                <c:pt idx="19">
                  <c:v>1809.9900000000002</c:v>
                </c:pt>
                <c:pt idx="20">
                  <c:v>1870.68</c:v>
                </c:pt>
                <c:pt idx="21">
                  <c:v>1945.65</c:v>
                </c:pt>
                <c:pt idx="22">
                  <c:v>1827.2</c:v>
                </c:pt>
                <c:pt idx="23">
                  <c:v>1755</c:v>
                </c:pt>
                <c:pt idx="24">
                  <c:v>1925.268</c:v>
                </c:pt>
                <c:pt idx="25">
                  <c:v>2154.858813394319</c:v>
                </c:pt>
                <c:pt idx="26">
                  <c:v>2330.5758592381162</c:v>
                </c:pt>
                <c:pt idx="27">
                  <c:v>2508.2446212352143</c:v>
                </c:pt>
                <c:pt idx="28">
                  <c:v>2687.3214796637426</c:v>
                </c:pt>
                <c:pt idx="29">
                  <c:v>2869.2630548482566</c:v>
                </c:pt>
                <c:pt idx="30">
                  <c:v>3054.154066307733</c:v>
                </c:pt>
                <c:pt idx="31">
                  <c:v>3242.1982345623105</c:v>
                </c:pt>
                <c:pt idx="32">
                  <c:v>3433.9685910582075</c:v>
                </c:pt>
                <c:pt idx="33">
                  <c:v>3629.8630628821384</c:v>
                </c:pt>
                <c:pt idx="34">
                  <c:v>3830.2770315867942</c:v>
                </c:pt>
                <c:pt idx="35">
                  <c:v>4038.8261505503383</c:v>
                </c:pt>
                <c:pt idx="36">
                  <c:v>4252.586708559711</c:v>
                </c:pt>
                <c:pt idx="37">
                  <c:v>4471.5341729987658</c:v>
                </c:pt>
                <c:pt idx="38">
                  <c:v>4696.0812348524651</c:v>
                </c:pt>
                <c:pt idx="39">
                  <c:v>4925.9060797722559</c:v>
                </c:pt>
                <c:pt idx="40">
                  <c:v>5161.4564784713521</c:v>
                </c:pt>
                <c:pt idx="41">
                  <c:v>5402.9378627416281</c:v>
                </c:pt>
                <c:pt idx="42">
                  <c:v>5650.303711865713</c:v>
                </c:pt>
                <c:pt idx="43">
                  <c:v>5903.62228669456</c:v>
                </c:pt>
                <c:pt idx="44">
                  <c:v>6162.9230089373705</c:v>
                </c:pt>
                <c:pt idx="45">
                  <c:v>6428.4516703350973</c:v>
                </c:pt>
                <c:pt idx="46">
                  <c:v>6700.2551756215043</c:v>
                </c:pt>
                <c:pt idx="47">
                  <c:v>6978.3800673878004</c:v>
                </c:pt>
                <c:pt idx="48">
                  <c:v>7263.0027984795815</c:v>
                </c:pt>
                <c:pt idx="49">
                  <c:v>7554.5509527909026</c:v>
                </c:pt>
                <c:pt idx="50">
                  <c:v>7852.1332145176975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1E-438E-8286-5C0A9F82B28A}"/>
            </c:ext>
          </c:extLst>
        </c:ser>
        <c:ser>
          <c:idx val="1"/>
          <c:order val="1"/>
          <c:tx>
            <c:strRef>
              <c:f>LAT_FEC!$AA$1:$AA$2</c:f>
              <c:strCache>
                <c:ptCount val="2"/>
                <c:pt idx="0">
                  <c:v>JRC</c:v>
                </c:pt>
                <c:pt idx="1">
                  <c:v>Buildings</c:v>
                </c:pt>
              </c:strCache>
            </c:strRef>
          </c:tx>
          <c:spPr>
            <a:ln w="28440" cap="rnd">
              <a:solidFill>
                <a:srgbClr val="ED7D31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LAT_FEC!$A$3:$A$53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LAT_FEC!$AA$3:$AA$53</c:f>
              <c:numCache>
                <c:formatCode>0</c:formatCode>
                <c:ptCount val="51"/>
                <c:pt idx="0">
                  <c:v>2720.6132876000001</c:v>
                </c:pt>
                <c:pt idx="1">
                  <c:v>2713.5688375199998</c:v>
                </c:pt>
                <c:pt idx="2">
                  <c:v>2972.4523779600004</c:v>
                </c:pt>
                <c:pt idx="3">
                  <c:v>3360.5860218000007</c:v>
                </c:pt>
                <c:pt idx="4">
                  <c:v>3369.8026958400001</c:v>
                </c:pt>
                <c:pt idx="5">
                  <c:v>3662.0445962999997</c:v>
                </c:pt>
                <c:pt idx="6">
                  <c:v>3938.9364844800002</c:v>
                </c:pt>
                <c:pt idx="7">
                  <c:v>4482.8535862799999</c:v>
                </c:pt>
                <c:pt idx="8">
                  <c:v>4557.53</c:v>
                </c:pt>
                <c:pt idx="9">
                  <c:v>4414.1399999999994</c:v>
                </c:pt>
                <c:pt idx="10">
                  <c:v>4397.3599999999997</c:v>
                </c:pt>
                <c:pt idx="11">
                  <c:v>4168.9800000000005</c:v>
                </c:pt>
                <c:pt idx="12">
                  <c:v>4651.8</c:v>
                </c:pt>
                <c:pt idx="13">
                  <c:v>4569.3899999999994</c:v>
                </c:pt>
                <c:pt idx="14">
                  <c:v>4730</c:v>
                </c:pt>
                <c:pt idx="15">
                  <c:v>4531.46</c:v>
                </c:pt>
                <c:pt idx="16">
                  <c:v>4453.46</c:v>
                </c:pt>
                <c:pt idx="17">
                  <c:v>4408.74</c:v>
                </c:pt>
                <c:pt idx="18">
                  <c:v>4451.79</c:v>
                </c:pt>
                <c:pt idx="19">
                  <c:v>4494.16</c:v>
                </c:pt>
                <c:pt idx="20">
                  <c:v>4264.26</c:v>
                </c:pt>
                <c:pt idx="21">
                  <c:v>4397.1899999999996</c:v>
                </c:pt>
                <c:pt idx="22">
                  <c:v>4309.58</c:v>
                </c:pt>
                <c:pt idx="23">
                  <c:v>4312.5</c:v>
                </c:pt>
                <c:pt idx="24">
                  <c:v>4745.5576470588239</c:v>
                </c:pt>
                <c:pt idx="25">
                  <c:v>4728.5016096925137</c:v>
                </c:pt>
                <c:pt idx="26">
                  <c:v>4813.1251286310253</c:v>
                </c:pt>
                <c:pt idx="27">
                  <c:v>4890.6817844325296</c:v>
                </c:pt>
                <c:pt idx="28">
                  <c:v>4960.5848928788464</c:v>
                </c:pt>
                <c:pt idx="29">
                  <c:v>5025.9053050116045</c:v>
                </c:pt>
                <c:pt idx="30">
                  <c:v>5086.8615516556483</c:v>
                </c:pt>
                <c:pt idx="31">
                  <c:v>5143.8448170057027</c:v>
                </c:pt>
                <c:pt idx="32">
                  <c:v>5197.756637677523</c:v>
                </c:pt>
                <c:pt idx="33">
                  <c:v>5249.1049949475491</c:v>
                </c:pt>
                <c:pt idx="34">
                  <c:v>5298.3216817094917</c:v>
                </c:pt>
                <c:pt idx="35">
                  <c:v>5350.0432393722695</c:v>
                </c:pt>
                <c:pt idx="36">
                  <c:v>5399.8435522278196</c:v>
                </c:pt>
                <c:pt idx="37">
                  <c:v>5447.532158459032</c:v>
                </c:pt>
                <c:pt idx="38">
                  <c:v>5493.4660788944993</c:v>
                </c:pt>
                <c:pt idx="39">
                  <c:v>5537.1270402148393</c:v>
                </c:pt>
                <c:pt idx="40">
                  <c:v>5578.9122464945576</c:v>
                </c:pt>
                <c:pt idx="41">
                  <c:v>5618.9130715556203</c:v>
                </c:pt>
                <c:pt idx="42">
                  <c:v>5656.9590996558491</c:v>
                </c:pt>
                <c:pt idx="43">
                  <c:v>5693.0191388049916</c:v>
                </c:pt>
                <c:pt idx="44">
                  <c:v>5727.0346573385841</c:v>
                </c:pt>
                <c:pt idx="45">
                  <c:v>5759.1537032224469</c:v>
                </c:pt>
                <c:pt idx="46">
                  <c:v>5789.336050354792</c:v>
                </c:pt>
                <c:pt idx="47">
                  <c:v>5817.5506808177051</c:v>
                </c:pt>
                <c:pt idx="48">
                  <c:v>5843.8795145908498</c:v>
                </c:pt>
                <c:pt idx="49">
                  <c:v>5868.5925475687645</c:v>
                </c:pt>
                <c:pt idx="50">
                  <c:v>5778.8972813787886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51E-438E-8286-5C0A9F82B28A}"/>
            </c:ext>
          </c:extLst>
        </c:ser>
        <c:ser>
          <c:idx val="2"/>
          <c:order val="2"/>
          <c:tx>
            <c:strRef>
              <c:f>LAT_FEC!$AB$1:$AB$2</c:f>
              <c:strCache>
                <c:ptCount val="2"/>
                <c:pt idx="0">
                  <c:v>JRC</c:v>
                </c:pt>
                <c:pt idx="1">
                  <c:v>Transport</c:v>
                </c:pt>
              </c:strCache>
            </c:strRef>
          </c:tx>
          <c:spPr>
            <a:ln w="28440" cap="rnd">
              <a:solidFill>
                <a:srgbClr val="A5A5A5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LAT_FEC!$A$3:$A$53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LAT_FEC!$AB$3:$AB$53</c:f>
              <c:numCache>
                <c:formatCode>0</c:formatCode>
                <c:ptCount val="51"/>
                <c:pt idx="0">
                  <c:v>151.94456600000026</c:v>
                </c:pt>
                <c:pt idx="1">
                  <c:v>172.77791600000015</c:v>
                </c:pt>
                <c:pt idx="2">
                  <c:v>143.88900400000014</c:v>
                </c:pt>
                <c:pt idx="3">
                  <c:v>135.83344200000002</c:v>
                </c:pt>
                <c:pt idx="4">
                  <c:v>138.88899999999998</c:v>
                </c:pt>
                <c:pt idx="5">
                  <c:v>147.7778960000006</c:v>
                </c:pt>
                <c:pt idx="6">
                  <c:v>150.00011999999987</c:v>
                </c:pt>
                <c:pt idx="7">
                  <c:v>139.72233400000005</c:v>
                </c:pt>
                <c:pt idx="8">
                  <c:v>136.57499999999999</c:v>
                </c:pt>
                <c:pt idx="9">
                  <c:v>121.005</c:v>
                </c:pt>
                <c:pt idx="10">
                  <c:v>127.13399999999999</c:v>
                </c:pt>
                <c:pt idx="11">
                  <c:v>127.73</c:v>
                </c:pt>
                <c:pt idx="12">
                  <c:v>124.2</c:v>
                </c:pt>
                <c:pt idx="13">
                  <c:v>125.88000000000001</c:v>
                </c:pt>
                <c:pt idx="14">
                  <c:v>115.74</c:v>
                </c:pt>
                <c:pt idx="15">
                  <c:v>108.84</c:v>
                </c:pt>
                <c:pt idx="16">
                  <c:v>110.616</c:v>
                </c:pt>
                <c:pt idx="17">
                  <c:v>101.01</c:v>
                </c:pt>
                <c:pt idx="18">
                  <c:v>105.378</c:v>
                </c:pt>
                <c:pt idx="19">
                  <c:v>104.95100000000001</c:v>
                </c:pt>
                <c:pt idx="20">
                  <c:v>91.546000000000006</c:v>
                </c:pt>
                <c:pt idx="21">
                  <c:v>96.481000000000009</c:v>
                </c:pt>
                <c:pt idx="22">
                  <c:v>97.02</c:v>
                </c:pt>
                <c:pt idx="23">
                  <c:v>110.232</c:v>
                </c:pt>
                <c:pt idx="24">
                  <c:v>142.66999999999999</c:v>
                </c:pt>
                <c:pt idx="25">
                  <c:v>351.54439159812824</c:v>
                </c:pt>
                <c:pt idx="26">
                  <c:v>550.88211171151954</c:v>
                </c:pt>
                <c:pt idx="27">
                  <c:v>751.69356948388474</c:v>
                </c:pt>
                <c:pt idx="28">
                  <c:v>953.60877198431831</c:v>
                </c:pt>
                <c:pt idx="29">
                  <c:v>1156.994228906764</c:v>
                </c:pt>
                <c:pt idx="30">
                  <c:v>1361.89787991656</c:v>
                </c:pt>
                <c:pt idx="31">
                  <c:v>1568.4291222855154</c:v>
                </c:pt>
                <c:pt idx="32">
                  <c:v>1776.9070911243557</c:v>
                </c:pt>
                <c:pt idx="33">
                  <c:v>1987.6129907581021</c:v>
                </c:pt>
                <c:pt idx="34">
                  <c:v>2200.8503181599112</c:v>
                </c:pt>
                <c:pt idx="35">
                  <c:v>2418.8680500269206</c:v>
                </c:pt>
                <c:pt idx="36">
                  <c:v>2640.1496606366372</c:v>
                </c:pt>
                <c:pt idx="37">
                  <c:v>2864.7402270800499</c:v>
                </c:pt>
                <c:pt idx="38">
                  <c:v>3092.9519177695283</c:v>
                </c:pt>
                <c:pt idx="39">
                  <c:v>3324.6127472150265</c:v>
                </c:pt>
                <c:pt idx="40">
                  <c:v>3560.0462266522486</c:v>
                </c:pt>
                <c:pt idx="41">
                  <c:v>3799.4187549491189</c:v>
                </c:pt>
                <c:pt idx="42">
                  <c:v>4042.7143358472704</c:v>
                </c:pt>
                <c:pt idx="43">
                  <c:v>4289.9867710766166</c:v>
                </c:pt>
                <c:pt idx="44">
                  <c:v>4541.2546359620792</c:v>
                </c:pt>
                <c:pt idx="45">
                  <c:v>4796.690779392432</c:v>
                </c:pt>
                <c:pt idx="46">
                  <c:v>5056.3191723191885</c:v>
                </c:pt>
                <c:pt idx="47">
                  <c:v>5320.1578223991401</c:v>
                </c:pt>
                <c:pt idx="48">
                  <c:v>5588.3197417934489</c:v>
                </c:pt>
                <c:pt idx="49">
                  <c:v>5861.1117933137775</c:v>
                </c:pt>
                <c:pt idx="50">
                  <c:v>6137.8145468710627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51E-438E-8286-5C0A9F82B2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85466013"/>
        <c:axId val="56999565"/>
      </c:lineChart>
      <c:catAx>
        <c:axId val="85466013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56999565"/>
        <c:crosses val="autoZero"/>
        <c:auto val="1"/>
        <c:lblAlgn val="ctr"/>
        <c:lblOffset val="100"/>
        <c:noMultiLvlLbl val="0"/>
      </c:catAx>
      <c:valAx>
        <c:axId val="56999565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lang="en-US" sz="1000" b="0" strike="noStrike" spc="-1">
                    <a:solidFill>
                      <a:srgbClr val="595959"/>
                    </a:solidFill>
                    <a:latin typeface="Calibri"/>
                  </a:defRPr>
                </a:pPr>
                <a:r>
                  <a:rPr lang="en-US" sz="1000" b="0" strike="noStrike" spc="-1">
                    <a:solidFill>
                      <a:srgbClr val="595959"/>
                    </a:solidFill>
                    <a:latin typeface="Calibri"/>
                  </a:rPr>
                  <a:t>GWh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648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85466013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900" b="0" strike="noStrike" spc="-1">
              <a:solidFill>
                <a:srgbClr val="595959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None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80">
              <a:noFill/>
            </a:ln>
          </c:spPr>
          <c:marker>
            <c:symbol val="circle"/>
            <c:size val="5"/>
            <c:spPr>
              <a:solidFill>
                <a:srgbClr val="4472C4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LIT_FEC!$A$71:$A$81</c:f>
              <c:numCache>
                <c:formatCode>General</c:formatCode>
                <c:ptCount val="11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</c:numCache>
            </c:numRef>
          </c:xVal>
          <c:yVal>
            <c:numRef>
              <c:f>LIT_FEC!$E$71:$E$81</c:f>
              <c:numCache>
                <c:formatCode>0.000</c:formatCode>
                <c:ptCount val="11"/>
                <c:pt idx="0">
                  <c:v>4.0378397296266693</c:v>
                </c:pt>
                <c:pt idx="1">
                  <c:v>3.9398045091663043</c:v>
                </c:pt>
                <c:pt idx="2">
                  <c:v>3.7572044977113719</c:v>
                </c:pt>
                <c:pt idx="3">
                  <c:v>3.8192786021972163</c:v>
                </c:pt>
                <c:pt idx="4">
                  <c:v>4.1817691513729782</c:v>
                </c:pt>
                <c:pt idx="5">
                  <c:v>4.3751326870002121</c:v>
                </c:pt>
                <c:pt idx="6">
                  <c:v>4.4299836426996659</c:v>
                </c:pt>
                <c:pt idx="7">
                  <c:v>4.0615990807042195</c:v>
                </c:pt>
                <c:pt idx="8">
                  <c:v>4.4126839670822244</c:v>
                </c:pt>
                <c:pt idx="9">
                  <c:v>3.8161110592381036</c:v>
                </c:pt>
                <c:pt idx="10">
                  <c:v>3.5558305646735935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3B3-4FF8-8536-6F295F8CD7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406421"/>
        <c:axId val="47993610"/>
      </c:scatterChart>
      <c:valAx>
        <c:axId val="64406421"/>
        <c:scaling>
          <c:orientation val="minMax"/>
        </c:scaling>
        <c:delete val="0"/>
        <c:axPos val="b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BFBFBF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47993610"/>
        <c:crosses val="autoZero"/>
        <c:crossBetween val="midCat"/>
      </c:valAx>
      <c:valAx>
        <c:axId val="47993610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0.000" sourceLinked="0"/>
        <c:majorTickMark val="none"/>
        <c:minorTickMark val="none"/>
        <c:tickLblPos val="nextTo"/>
        <c:spPr>
          <a:ln w="9360">
            <a:solidFill>
              <a:srgbClr val="BFBFBF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64406421"/>
        <c:crosses val="autoZero"/>
        <c:crossBetween val="midCat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None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LIT_FEC!$B$57</c:f>
              <c:strCache>
                <c:ptCount val="1"/>
                <c:pt idx="0">
                  <c:v>Industry FEC GWh</c:v>
                </c:pt>
              </c:strCache>
            </c:strRef>
          </c:tx>
          <c:spPr>
            <a:ln w="28440" cap="rnd">
              <a:solidFill>
                <a:srgbClr val="4472C4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LIT_FEC!$A$58:$A$108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LIT_FEC!$B$58:$B$108</c:f>
              <c:numCache>
                <c:formatCode>0</c:formatCode>
                <c:ptCount val="51"/>
                <c:pt idx="0">
                  <c:v>8619</c:v>
                </c:pt>
                <c:pt idx="1">
                  <c:v>8565</c:v>
                </c:pt>
                <c:pt idx="2">
                  <c:v>9494</c:v>
                </c:pt>
                <c:pt idx="3">
                  <c:v>9999</c:v>
                </c:pt>
                <c:pt idx="4">
                  <c:v>10276</c:v>
                </c:pt>
                <c:pt idx="5">
                  <c:v>11689</c:v>
                </c:pt>
                <c:pt idx="6">
                  <c:v>12044</c:v>
                </c:pt>
                <c:pt idx="7">
                  <c:v>12336</c:v>
                </c:pt>
                <c:pt idx="8">
                  <c:v>11058</c:v>
                </c:pt>
                <c:pt idx="9">
                  <c:v>9711</c:v>
                </c:pt>
                <c:pt idx="10">
                  <c:v>10572</c:v>
                </c:pt>
                <c:pt idx="11">
                  <c:v>11323</c:v>
                </c:pt>
                <c:pt idx="12">
                  <c:v>11987</c:v>
                </c:pt>
                <c:pt idx="13">
                  <c:v>11595</c:v>
                </c:pt>
                <c:pt idx="14">
                  <c:v>11614</c:v>
                </c:pt>
                <c:pt idx="15">
                  <c:v>10996</c:v>
                </c:pt>
                <c:pt idx="16">
                  <c:v>11059</c:v>
                </c:pt>
                <c:pt idx="17">
                  <c:v>11956</c:v>
                </c:pt>
                <c:pt idx="18">
                  <c:v>12365</c:v>
                </c:pt>
                <c:pt idx="19">
                  <c:v>12458</c:v>
                </c:pt>
                <c:pt idx="20">
                  <c:v>11413</c:v>
                </c:pt>
                <c:pt idx="21">
                  <c:v>12403</c:v>
                </c:pt>
                <c:pt idx="22">
                  <c:v>10708</c:v>
                </c:pt>
                <c:pt idx="23">
                  <c:v>10160</c:v>
                </c:pt>
                <c:pt idx="24">
                  <c:v>10932</c:v>
                </c:pt>
                <c:pt idx="25">
                  <c:v>10278.711403401629</c:v>
                </c:pt>
                <c:pt idx="26">
                  <c:v>10265.266808036597</c:v>
                </c:pt>
                <c:pt idx="27">
                  <c:v>10236.400575512576</c:v>
                </c:pt>
                <c:pt idx="28">
                  <c:v>10210.702588021681</c:v>
                </c:pt>
                <c:pt idx="29">
                  <c:v>10181.633673155475</c:v>
                </c:pt>
                <c:pt idx="30">
                  <c:v>10149.112046810969</c:v>
                </c:pt>
                <c:pt idx="31">
                  <c:v>10113.031034071228</c:v>
                </c:pt>
                <c:pt idx="32">
                  <c:v>10077.568735849738</c:v>
                </c:pt>
                <c:pt idx="33">
                  <c:v>10042.757154621582</c:v>
                </c:pt>
                <c:pt idx="34">
                  <c:v>10008.745635270479</c:v>
                </c:pt>
                <c:pt idx="35">
                  <c:v>9975.6124060688526</c:v>
                </c:pt>
                <c:pt idx="36">
                  <c:v>9943.4250277974243</c:v>
                </c:pt>
                <c:pt idx="37">
                  <c:v>9912.1408304894267</c:v>
                </c:pt>
                <c:pt idx="38">
                  <c:v>9881.923382350833</c:v>
                </c:pt>
                <c:pt idx="39">
                  <c:v>9852.5166635809801</c:v>
                </c:pt>
                <c:pt idx="40">
                  <c:v>9823.8033317712416</c:v>
                </c:pt>
                <c:pt idx="41">
                  <c:v>9795.6375978684609</c:v>
                </c:pt>
                <c:pt idx="42">
                  <c:v>9767.9696802447361</c:v>
                </c:pt>
                <c:pt idx="43">
                  <c:v>9740.5080007937631</c:v>
                </c:pt>
                <c:pt idx="44">
                  <c:v>9713.0214305288355</c:v>
                </c:pt>
                <c:pt idx="45">
                  <c:v>9685.3748478884991</c:v>
                </c:pt>
                <c:pt idx="46">
                  <c:v>9657.1273298827309</c:v>
                </c:pt>
                <c:pt idx="47">
                  <c:v>9627.9055143022451</c:v>
                </c:pt>
                <c:pt idx="48">
                  <c:v>9597.2258081902401</c:v>
                </c:pt>
                <c:pt idx="49">
                  <c:v>9564.8001892709817</c:v>
                </c:pt>
                <c:pt idx="50">
                  <c:v>9530.4544218468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A4-40BB-BD84-D9F915F9E8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49898195"/>
        <c:axId val="52587033"/>
      </c:lineChart>
      <c:catAx>
        <c:axId val="49898195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52587033"/>
        <c:crosses val="autoZero"/>
        <c:auto val="1"/>
        <c:lblAlgn val="ctr"/>
        <c:lblOffset val="100"/>
        <c:noMultiLvlLbl val="0"/>
      </c:catAx>
      <c:valAx>
        <c:axId val="52587033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648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4989819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None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LIT_FEC!$B$110</c:f>
              <c:strCache>
                <c:ptCount val="1"/>
                <c:pt idx="0">
                  <c:v>Buildings FEC GWh</c:v>
                </c:pt>
              </c:strCache>
            </c:strRef>
          </c:tx>
          <c:spPr>
            <a:ln w="28440" cap="rnd">
              <a:solidFill>
                <a:srgbClr val="4472C4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LIT_FEC!$A$111:$A$161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LIT_FEC!$B$111:$B$161</c:f>
              <c:numCache>
                <c:formatCode>0</c:formatCode>
                <c:ptCount val="51"/>
                <c:pt idx="0">
                  <c:v>21284</c:v>
                </c:pt>
                <c:pt idx="1">
                  <c:v>21954</c:v>
                </c:pt>
                <c:pt idx="2">
                  <c:v>22423</c:v>
                </c:pt>
                <c:pt idx="3">
                  <c:v>23074</c:v>
                </c:pt>
                <c:pt idx="4">
                  <c:v>23524</c:v>
                </c:pt>
                <c:pt idx="5">
                  <c:v>24075</c:v>
                </c:pt>
                <c:pt idx="6">
                  <c:v>25309</c:v>
                </c:pt>
                <c:pt idx="7">
                  <c:v>24811</c:v>
                </c:pt>
                <c:pt idx="8">
                  <c:v>25068</c:v>
                </c:pt>
                <c:pt idx="9">
                  <c:v>25129</c:v>
                </c:pt>
                <c:pt idx="10">
                  <c:v>25530</c:v>
                </c:pt>
                <c:pt idx="11">
                  <c:v>24618</c:v>
                </c:pt>
                <c:pt idx="12">
                  <c:v>24968</c:v>
                </c:pt>
                <c:pt idx="13">
                  <c:v>23980</c:v>
                </c:pt>
                <c:pt idx="14">
                  <c:v>23118</c:v>
                </c:pt>
                <c:pt idx="15">
                  <c:v>22505</c:v>
                </c:pt>
                <c:pt idx="16">
                  <c:v>23668</c:v>
                </c:pt>
                <c:pt idx="17">
                  <c:v>24307</c:v>
                </c:pt>
                <c:pt idx="18">
                  <c:v>25162</c:v>
                </c:pt>
                <c:pt idx="19">
                  <c:v>24129</c:v>
                </c:pt>
                <c:pt idx="20">
                  <c:v>23374</c:v>
                </c:pt>
                <c:pt idx="21">
                  <c:v>26483</c:v>
                </c:pt>
                <c:pt idx="22">
                  <c:v>25259</c:v>
                </c:pt>
                <c:pt idx="23">
                  <c:v>24837</c:v>
                </c:pt>
                <c:pt idx="24">
                  <c:v>26278</c:v>
                </c:pt>
                <c:pt idx="25">
                  <c:v>25329.574767765178</c:v>
                </c:pt>
                <c:pt idx="26">
                  <c:v>25398.108065059936</c:v>
                </c:pt>
                <c:pt idx="27">
                  <c:v>25428.473868446621</c:v>
                </c:pt>
                <c:pt idx="28">
                  <c:v>25466.575462882167</c:v>
                </c:pt>
                <c:pt idx="29">
                  <c:v>25496.131358414579</c:v>
                </c:pt>
                <c:pt idx="30">
                  <c:v>25516.832704841025</c:v>
                </c:pt>
                <c:pt idx="31">
                  <c:v>25528.303686573028</c:v>
                </c:pt>
                <c:pt idx="32">
                  <c:v>25541.022825460735</c:v>
                </c:pt>
                <c:pt idx="33">
                  <c:v>25555.087705201382</c:v>
                </c:pt>
                <c:pt idx="34">
                  <c:v>25570.897146458447</c:v>
                </c:pt>
                <c:pt idx="35">
                  <c:v>25588.673824578826</c:v>
                </c:pt>
                <c:pt idx="36">
                  <c:v>25608.616349092146</c:v>
                </c:pt>
                <c:pt idx="37">
                  <c:v>25630.641296357626</c:v>
                </c:pt>
                <c:pt idx="38">
                  <c:v>25655.199120011926</c:v>
                </c:pt>
                <c:pt idx="39">
                  <c:v>25681.65361007964</c:v>
                </c:pt>
                <c:pt idx="40">
                  <c:v>25709.721013062204</c:v>
                </c:pt>
                <c:pt idx="41">
                  <c:v>25739.038083345939</c:v>
                </c:pt>
                <c:pt idx="42">
                  <c:v>25769.488862924005</c:v>
                </c:pt>
                <c:pt idx="43">
                  <c:v>25800.314947159768</c:v>
                </c:pt>
                <c:pt idx="44">
                  <c:v>25830.906389564811</c:v>
                </c:pt>
                <c:pt idx="45">
                  <c:v>25860.899752389039</c:v>
                </c:pt>
                <c:pt idx="46">
                  <c:v>25889.105978082778</c:v>
                </c:pt>
                <c:pt idx="47">
                  <c:v>25914.498800137761</c:v>
                </c:pt>
                <c:pt idx="48">
                  <c:v>25935.737738530617</c:v>
                </c:pt>
                <c:pt idx="49">
                  <c:v>25951.991675549318</c:v>
                </c:pt>
                <c:pt idx="50">
                  <c:v>25962.72651083595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A2-4743-B423-8458AAD88A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92202199"/>
        <c:axId val="31408698"/>
      </c:lineChart>
      <c:catAx>
        <c:axId val="92202199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31408698"/>
        <c:crosses val="autoZero"/>
        <c:auto val="1"/>
        <c:lblAlgn val="ctr"/>
        <c:lblOffset val="100"/>
        <c:noMultiLvlLbl val="0"/>
      </c:catAx>
      <c:valAx>
        <c:axId val="31408698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648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9220219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None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LIT_FEC!$B$163</c:f>
              <c:strCache>
                <c:ptCount val="1"/>
                <c:pt idx="0">
                  <c:v>Transport FEC GWh</c:v>
                </c:pt>
              </c:strCache>
            </c:strRef>
          </c:tx>
          <c:spPr>
            <a:ln w="28440" cap="rnd">
              <a:solidFill>
                <a:srgbClr val="4472C4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LIT_FEC!$A$164:$A$214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LIT_FEC!$B$164:$B$214</c:f>
              <c:numCache>
                <c:formatCode>0</c:formatCode>
                <c:ptCount val="51"/>
                <c:pt idx="0">
                  <c:v>12284</c:v>
                </c:pt>
                <c:pt idx="1">
                  <c:v>13463</c:v>
                </c:pt>
                <c:pt idx="2">
                  <c:v>13897</c:v>
                </c:pt>
                <c:pt idx="3">
                  <c:v>14191</c:v>
                </c:pt>
                <c:pt idx="4">
                  <c:v>15583</c:v>
                </c:pt>
                <c:pt idx="5">
                  <c:v>16723</c:v>
                </c:pt>
                <c:pt idx="6">
                  <c:v>18029</c:v>
                </c:pt>
                <c:pt idx="7">
                  <c:v>21435</c:v>
                </c:pt>
                <c:pt idx="8">
                  <c:v>21491</c:v>
                </c:pt>
                <c:pt idx="9">
                  <c:v>17515</c:v>
                </c:pt>
                <c:pt idx="10">
                  <c:v>18040</c:v>
                </c:pt>
                <c:pt idx="11">
                  <c:v>17958</c:v>
                </c:pt>
                <c:pt idx="12">
                  <c:v>18311</c:v>
                </c:pt>
                <c:pt idx="13">
                  <c:v>18361</c:v>
                </c:pt>
                <c:pt idx="14">
                  <c:v>20356</c:v>
                </c:pt>
                <c:pt idx="15">
                  <c:v>21450</c:v>
                </c:pt>
                <c:pt idx="16">
                  <c:v>22906</c:v>
                </c:pt>
                <c:pt idx="17">
                  <c:v>24135</c:v>
                </c:pt>
                <c:pt idx="18">
                  <c:v>25763</c:v>
                </c:pt>
                <c:pt idx="19">
                  <c:v>26568</c:v>
                </c:pt>
                <c:pt idx="20">
                  <c:v>25473</c:v>
                </c:pt>
                <c:pt idx="21">
                  <c:v>25774</c:v>
                </c:pt>
                <c:pt idx="22">
                  <c:v>25757</c:v>
                </c:pt>
                <c:pt idx="23">
                  <c:v>26327</c:v>
                </c:pt>
                <c:pt idx="24">
                  <c:v>25701</c:v>
                </c:pt>
                <c:pt idx="25">
                  <c:v>26729.945024557052</c:v>
                </c:pt>
                <c:pt idx="26">
                  <c:v>26742.715156991017</c:v>
                </c:pt>
                <c:pt idx="27">
                  <c:v>26715.197745528039</c:v>
                </c:pt>
                <c:pt idx="28">
                  <c:v>26695.779768357374</c:v>
                </c:pt>
                <c:pt idx="29">
                  <c:v>26667.377918749131</c:v>
                </c:pt>
                <c:pt idx="30">
                  <c:v>26629.729754719196</c:v>
                </c:pt>
                <c:pt idx="31">
                  <c:v>26582.505702332586</c:v>
                </c:pt>
                <c:pt idx="32">
                  <c:v>26536.656849881299</c:v>
                </c:pt>
                <c:pt idx="33">
                  <c:v>26492.275600389727</c:v>
                </c:pt>
                <c:pt idx="34">
                  <c:v>26449.765086763269</c:v>
                </c:pt>
                <c:pt idx="35">
                  <c:v>26409.343022331595</c:v>
                </c:pt>
                <c:pt idx="36">
                  <c:v>26371.200348898878</c:v>
                </c:pt>
                <c:pt idx="37">
                  <c:v>26335.236464248741</c:v>
                </c:pt>
                <c:pt idx="38">
                  <c:v>26301.898928803323</c:v>
                </c:pt>
                <c:pt idx="39">
                  <c:v>26270.519681523307</c:v>
                </c:pt>
                <c:pt idx="40">
                  <c:v>26240.796259008985</c:v>
                </c:pt>
                <c:pt idx="41">
                  <c:v>26212.34787497561</c:v>
                </c:pt>
                <c:pt idx="42">
                  <c:v>26185.048354484403</c:v>
                </c:pt>
                <c:pt idx="43">
                  <c:v>26158.121250620006</c:v>
                </c:pt>
                <c:pt idx="44">
                  <c:v>26130.947166385253</c:v>
                </c:pt>
                <c:pt idx="45">
                  <c:v>26103.161017273404</c:v>
                </c:pt>
                <c:pt idx="46">
                  <c:v>26073.569468913614</c:v>
                </c:pt>
                <c:pt idx="47">
                  <c:v>26041.153398189752</c:v>
                </c:pt>
                <c:pt idx="48">
                  <c:v>26004.587745987163</c:v>
                </c:pt>
                <c:pt idx="49">
                  <c:v>25963.068893866588</c:v>
                </c:pt>
                <c:pt idx="50">
                  <c:v>25916.096973252283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6F-4BFB-8AC7-F5FA534E8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13658009"/>
        <c:axId val="13854921"/>
      </c:lineChart>
      <c:catAx>
        <c:axId val="13658009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13854921"/>
        <c:crosses val="autoZero"/>
        <c:auto val="1"/>
        <c:lblAlgn val="ctr"/>
        <c:lblOffset val="100"/>
        <c:noMultiLvlLbl val="0"/>
      </c:catAx>
      <c:valAx>
        <c:axId val="13854921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648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1365800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lang="en-US" sz="1400" b="0" strike="noStrike" spc="-1">
                <a:solidFill>
                  <a:srgbClr val="595959"/>
                </a:solidFill>
                <a:latin typeface="Calibri"/>
              </a:defRPr>
            </a:pPr>
            <a:r>
              <a:rPr lang="en-US" sz="1400" b="0" strike="noStrike" spc="-1">
                <a:solidFill>
                  <a:srgbClr val="595959"/>
                </a:solidFill>
                <a:latin typeface="Calibri"/>
              </a:rPr>
              <a:t>Lithuania FEC sectors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LIT_FEC!$B$2</c:f>
              <c:strCache>
                <c:ptCount val="1"/>
                <c:pt idx="0">
                  <c:v>Industry</c:v>
                </c:pt>
              </c:strCache>
            </c:strRef>
          </c:tx>
          <c:spPr>
            <a:ln w="28440" cap="rnd">
              <a:solidFill>
                <a:srgbClr val="4472C4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LIT_FEC!$A$3:$A$53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LIT_FEC!$B$3:$B$53</c:f>
              <c:numCache>
                <c:formatCode>0</c:formatCode>
                <c:ptCount val="51"/>
                <c:pt idx="0">
                  <c:v>8619</c:v>
                </c:pt>
                <c:pt idx="1">
                  <c:v>8565</c:v>
                </c:pt>
                <c:pt idx="2">
                  <c:v>9494</c:v>
                </c:pt>
                <c:pt idx="3">
                  <c:v>9999</c:v>
                </c:pt>
                <c:pt idx="4">
                  <c:v>10276</c:v>
                </c:pt>
                <c:pt idx="5">
                  <c:v>11689</c:v>
                </c:pt>
                <c:pt idx="6">
                  <c:v>12044</c:v>
                </c:pt>
                <c:pt idx="7">
                  <c:v>12336</c:v>
                </c:pt>
                <c:pt idx="8">
                  <c:v>11058</c:v>
                </c:pt>
                <c:pt idx="9">
                  <c:v>9711</c:v>
                </c:pt>
                <c:pt idx="10">
                  <c:v>10572</c:v>
                </c:pt>
                <c:pt idx="11">
                  <c:v>11323</c:v>
                </c:pt>
                <c:pt idx="12">
                  <c:v>11987</c:v>
                </c:pt>
                <c:pt idx="13">
                  <c:v>11595</c:v>
                </c:pt>
                <c:pt idx="14">
                  <c:v>11614</c:v>
                </c:pt>
                <c:pt idx="15">
                  <c:v>10996</c:v>
                </c:pt>
                <c:pt idx="16">
                  <c:v>11059</c:v>
                </c:pt>
                <c:pt idx="17">
                  <c:v>11956</c:v>
                </c:pt>
                <c:pt idx="18">
                  <c:v>12365</c:v>
                </c:pt>
                <c:pt idx="19">
                  <c:v>12458</c:v>
                </c:pt>
                <c:pt idx="20">
                  <c:v>11413</c:v>
                </c:pt>
                <c:pt idx="21">
                  <c:v>12403</c:v>
                </c:pt>
                <c:pt idx="22">
                  <c:v>10708</c:v>
                </c:pt>
                <c:pt idx="23">
                  <c:v>10160</c:v>
                </c:pt>
                <c:pt idx="24">
                  <c:v>10932</c:v>
                </c:pt>
                <c:pt idx="25">
                  <c:v>10278.711403401629</c:v>
                </c:pt>
                <c:pt idx="26">
                  <c:v>10265.266808036597</c:v>
                </c:pt>
                <c:pt idx="27">
                  <c:v>10236.400575512576</c:v>
                </c:pt>
                <c:pt idx="28">
                  <c:v>10210.702588021681</c:v>
                </c:pt>
                <c:pt idx="29">
                  <c:v>10181.633673155475</c:v>
                </c:pt>
                <c:pt idx="30">
                  <c:v>10149.112046810969</c:v>
                </c:pt>
                <c:pt idx="31">
                  <c:v>10113.031034071228</c:v>
                </c:pt>
                <c:pt idx="32">
                  <c:v>10077.568735849738</c:v>
                </c:pt>
                <c:pt idx="33">
                  <c:v>10042.757154621582</c:v>
                </c:pt>
                <c:pt idx="34">
                  <c:v>10008.745635270479</c:v>
                </c:pt>
                <c:pt idx="35">
                  <c:v>9975.6124060688526</c:v>
                </c:pt>
                <c:pt idx="36">
                  <c:v>9943.4250277974243</c:v>
                </c:pt>
                <c:pt idx="37">
                  <c:v>9912.1408304894267</c:v>
                </c:pt>
                <c:pt idx="38">
                  <c:v>9881.923382350833</c:v>
                </c:pt>
                <c:pt idx="39">
                  <c:v>9852.5166635809801</c:v>
                </c:pt>
                <c:pt idx="40">
                  <c:v>9823.8033317712416</c:v>
                </c:pt>
                <c:pt idx="41">
                  <c:v>9795.6375978684609</c:v>
                </c:pt>
                <c:pt idx="42">
                  <c:v>9767.9696802447361</c:v>
                </c:pt>
                <c:pt idx="43">
                  <c:v>9740.5080007937631</c:v>
                </c:pt>
                <c:pt idx="44">
                  <c:v>9713.0214305288355</c:v>
                </c:pt>
                <c:pt idx="45">
                  <c:v>9685.3748478884991</c:v>
                </c:pt>
                <c:pt idx="46">
                  <c:v>9657.1273298827309</c:v>
                </c:pt>
                <c:pt idx="47">
                  <c:v>9627.9055143022451</c:v>
                </c:pt>
                <c:pt idx="48">
                  <c:v>9597.2258081902401</c:v>
                </c:pt>
                <c:pt idx="49">
                  <c:v>9564.8001892709817</c:v>
                </c:pt>
                <c:pt idx="50">
                  <c:v>9530.4544218468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50-49DB-AE02-A2C50C76C9E5}"/>
            </c:ext>
          </c:extLst>
        </c:ser>
        <c:ser>
          <c:idx val="1"/>
          <c:order val="1"/>
          <c:tx>
            <c:strRef>
              <c:f>LIT_FEC!$C$2</c:f>
              <c:strCache>
                <c:ptCount val="1"/>
                <c:pt idx="0">
                  <c:v>Buildings</c:v>
                </c:pt>
              </c:strCache>
            </c:strRef>
          </c:tx>
          <c:spPr>
            <a:ln w="28440" cap="rnd">
              <a:solidFill>
                <a:srgbClr val="ED7D31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LIT_FEC!$A$3:$A$53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LIT_FEC!$C$3:$C$53</c:f>
              <c:numCache>
                <c:formatCode>0</c:formatCode>
                <c:ptCount val="51"/>
                <c:pt idx="0">
                  <c:v>21284</c:v>
                </c:pt>
                <c:pt idx="1">
                  <c:v>21954</c:v>
                </c:pt>
                <c:pt idx="2">
                  <c:v>22423</c:v>
                </c:pt>
                <c:pt idx="3">
                  <c:v>23074</c:v>
                </c:pt>
                <c:pt idx="4">
                  <c:v>23524</c:v>
                </c:pt>
                <c:pt idx="5">
                  <c:v>24075</c:v>
                </c:pt>
                <c:pt idx="6">
                  <c:v>25309</c:v>
                </c:pt>
                <c:pt idx="7">
                  <c:v>24811</c:v>
                </c:pt>
                <c:pt idx="8">
                  <c:v>25068</c:v>
                </c:pt>
                <c:pt idx="9">
                  <c:v>25129</c:v>
                </c:pt>
                <c:pt idx="10">
                  <c:v>25530</c:v>
                </c:pt>
                <c:pt idx="11">
                  <c:v>24618</c:v>
                </c:pt>
                <c:pt idx="12">
                  <c:v>24968</c:v>
                </c:pt>
                <c:pt idx="13">
                  <c:v>23980</c:v>
                </c:pt>
                <c:pt idx="14">
                  <c:v>23118</c:v>
                </c:pt>
                <c:pt idx="15">
                  <c:v>22505</c:v>
                </c:pt>
                <c:pt idx="16">
                  <c:v>23668</c:v>
                </c:pt>
                <c:pt idx="17">
                  <c:v>24307</c:v>
                </c:pt>
                <c:pt idx="18">
                  <c:v>25162</c:v>
                </c:pt>
                <c:pt idx="19">
                  <c:v>24129</c:v>
                </c:pt>
                <c:pt idx="20">
                  <c:v>23374</c:v>
                </c:pt>
                <c:pt idx="21">
                  <c:v>26483</c:v>
                </c:pt>
                <c:pt idx="22">
                  <c:v>25259</c:v>
                </c:pt>
                <c:pt idx="23">
                  <c:v>24837</c:v>
                </c:pt>
                <c:pt idx="24">
                  <c:v>26278</c:v>
                </c:pt>
                <c:pt idx="25">
                  <c:v>25329.574767765178</c:v>
                </c:pt>
                <c:pt idx="26">
                  <c:v>25398.108065059936</c:v>
                </c:pt>
                <c:pt idx="27">
                  <c:v>25428.473868446621</c:v>
                </c:pt>
                <c:pt idx="28">
                  <c:v>25466.575462882167</c:v>
                </c:pt>
                <c:pt idx="29">
                  <c:v>25496.131358414579</c:v>
                </c:pt>
                <c:pt idx="30">
                  <c:v>25516.832704841025</c:v>
                </c:pt>
                <c:pt idx="31">
                  <c:v>25528.303686573028</c:v>
                </c:pt>
                <c:pt idx="32">
                  <c:v>25541.022825460735</c:v>
                </c:pt>
                <c:pt idx="33">
                  <c:v>25555.087705201382</c:v>
                </c:pt>
                <c:pt idx="34">
                  <c:v>25570.897146458447</c:v>
                </c:pt>
                <c:pt idx="35">
                  <c:v>25588.673824578826</c:v>
                </c:pt>
                <c:pt idx="36">
                  <c:v>25608.616349092146</c:v>
                </c:pt>
                <c:pt idx="37">
                  <c:v>25630.641296357626</c:v>
                </c:pt>
                <c:pt idx="38">
                  <c:v>25655.199120011926</c:v>
                </c:pt>
                <c:pt idx="39">
                  <c:v>25681.65361007964</c:v>
                </c:pt>
                <c:pt idx="40">
                  <c:v>25709.721013062204</c:v>
                </c:pt>
                <c:pt idx="41">
                  <c:v>25739.038083345939</c:v>
                </c:pt>
                <c:pt idx="42">
                  <c:v>25769.488862924005</c:v>
                </c:pt>
                <c:pt idx="43">
                  <c:v>25800.314947159768</c:v>
                </c:pt>
                <c:pt idx="44">
                  <c:v>25830.906389564811</c:v>
                </c:pt>
                <c:pt idx="45">
                  <c:v>25860.899752389039</c:v>
                </c:pt>
                <c:pt idx="46">
                  <c:v>25889.105978082778</c:v>
                </c:pt>
                <c:pt idx="47">
                  <c:v>25914.498800137761</c:v>
                </c:pt>
                <c:pt idx="48">
                  <c:v>25935.737738530617</c:v>
                </c:pt>
                <c:pt idx="49">
                  <c:v>25951.991675549318</c:v>
                </c:pt>
                <c:pt idx="50">
                  <c:v>25962.72651083595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50-49DB-AE02-A2C50C76C9E5}"/>
            </c:ext>
          </c:extLst>
        </c:ser>
        <c:ser>
          <c:idx val="2"/>
          <c:order val="2"/>
          <c:tx>
            <c:strRef>
              <c:f>LIT_FEC!$D$2</c:f>
              <c:strCache>
                <c:ptCount val="1"/>
                <c:pt idx="0">
                  <c:v>Transport</c:v>
                </c:pt>
              </c:strCache>
            </c:strRef>
          </c:tx>
          <c:spPr>
            <a:ln w="28440" cap="rnd">
              <a:solidFill>
                <a:srgbClr val="A5A5A5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LIT_FEC!$A$3:$A$53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LIT_FEC!$D$3:$D$53</c:f>
              <c:numCache>
                <c:formatCode>0</c:formatCode>
                <c:ptCount val="51"/>
                <c:pt idx="0">
                  <c:v>12284</c:v>
                </c:pt>
                <c:pt idx="1">
                  <c:v>13463</c:v>
                </c:pt>
                <c:pt idx="2">
                  <c:v>13897</c:v>
                </c:pt>
                <c:pt idx="3">
                  <c:v>14191</c:v>
                </c:pt>
                <c:pt idx="4">
                  <c:v>15583</c:v>
                </c:pt>
                <c:pt idx="5">
                  <c:v>16723</c:v>
                </c:pt>
                <c:pt idx="6">
                  <c:v>18029</c:v>
                </c:pt>
                <c:pt idx="7">
                  <c:v>21435</c:v>
                </c:pt>
                <c:pt idx="8">
                  <c:v>21491</c:v>
                </c:pt>
                <c:pt idx="9">
                  <c:v>17515</c:v>
                </c:pt>
                <c:pt idx="10">
                  <c:v>18040</c:v>
                </c:pt>
                <c:pt idx="11">
                  <c:v>17958</c:v>
                </c:pt>
                <c:pt idx="12">
                  <c:v>18311</c:v>
                </c:pt>
                <c:pt idx="13">
                  <c:v>18361</c:v>
                </c:pt>
                <c:pt idx="14">
                  <c:v>20356</c:v>
                </c:pt>
                <c:pt idx="15">
                  <c:v>21450</c:v>
                </c:pt>
                <c:pt idx="16">
                  <c:v>22906</c:v>
                </c:pt>
                <c:pt idx="17">
                  <c:v>24135</c:v>
                </c:pt>
                <c:pt idx="18">
                  <c:v>25763</c:v>
                </c:pt>
                <c:pt idx="19">
                  <c:v>26568</c:v>
                </c:pt>
                <c:pt idx="20">
                  <c:v>25473</c:v>
                </c:pt>
                <c:pt idx="21">
                  <c:v>25774</c:v>
                </c:pt>
                <c:pt idx="22">
                  <c:v>25757</c:v>
                </c:pt>
                <c:pt idx="23">
                  <c:v>26327</c:v>
                </c:pt>
                <c:pt idx="24">
                  <c:v>25701</c:v>
                </c:pt>
                <c:pt idx="25">
                  <c:v>26729.945024557052</c:v>
                </c:pt>
                <c:pt idx="26">
                  <c:v>26742.715156991017</c:v>
                </c:pt>
                <c:pt idx="27">
                  <c:v>26715.197745528039</c:v>
                </c:pt>
                <c:pt idx="28">
                  <c:v>26695.779768357374</c:v>
                </c:pt>
                <c:pt idx="29">
                  <c:v>26667.377918749131</c:v>
                </c:pt>
                <c:pt idx="30">
                  <c:v>26629.729754719196</c:v>
                </c:pt>
                <c:pt idx="31">
                  <c:v>26582.505702332586</c:v>
                </c:pt>
                <c:pt idx="32">
                  <c:v>26536.656849881299</c:v>
                </c:pt>
                <c:pt idx="33">
                  <c:v>26492.275600389727</c:v>
                </c:pt>
                <c:pt idx="34">
                  <c:v>26449.765086763269</c:v>
                </c:pt>
                <c:pt idx="35">
                  <c:v>26409.343022331595</c:v>
                </c:pt>
                <c:pt idx="36">
                  <c:v>26371.200348898878</c:v>
                </c:pt>
                <c:pt idx="37">
                  <c:v>26335.236464248741</c:v>
                </c:pt>
                <c:pt idx="38">
                  <c:v>26301.898928803323</c:v>
                </c:pt>
                <c:pt idx="39">
                  <c:v>26270.519681523307</c:v>
                </c:pt>
                <c:pt idx="40">
                  <c:v>26240.796259008985</c:v>
                </c:pt>
                <c:pt idx="41">
                  <c:v>26212.34787497561</c:v>
                </c:pt>
                <c:pt idx="42">
                  <c:v>26185.048354484403</c:v>
                </c:pt>
                <c:pt idx="43">
                  <c:v>26158.121250620006</c:v>
                </c:pt>
                <c:pt idx="44">
                  <c:v>26130.947166385253</c:v>
                </c:pt>
                <c:pt idx="45">
                  <c:v>26103.161017273404</c:v>
                </c:pt>
                <c:pt idx="46">
                  <c:v>26073.569468913614</c:v>
                </c:pt>
                <c:pt idx="47">
                  <c:v>26041.153398189752</c:v>
                </c:pt>
                <c:pt idx="48">
                  <c:v>26004.587745987163</c:v>
                </c:pt>
                <c:pt idx="49">
                  <c:v>25963.068893866588</c:v>
                </c:pt>
                <c:pt idx="50">
                  <c:v>25916.096973252283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50-49DB-AE02-A2C50C76C9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49853076"/>
        <c:axId val="13384419"/>
      </c:lineChart>
      <c:catAx>
        <c:axId val="498530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13384419"/>
        <c:crosses val="autoZero"/>
        <c:auto val="1"/>
        <c:lblAlgn val="ctr"/>
        <c:lblOffset val="100"/>
        <c:noMultiLvlLbl val="0"/>
      </c:catAx>
      <c:valAx>
        <c:axId val="13384419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648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49853076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900" b="0" strike="noStrike" spc="-1">
              <a:solidFill>
                <a:srgbClr val="595959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lang="en-US" sz="1400" b="0" strike="noStrike" spc="-1">
                <a:solidFill>
                  <a:srgbClr val="595959"/>
                </a:solidFill>
                <a:latin typeface="Calibri"/>
              </a:defRPr>
            </a:pPr>
            <a:r>
              <a:rPr lang="en-US" sz="1400" b="0" strike="noStrike" spc="-1">
                <a:solidFill>
                  <a:srgbClr val="595959"/>
                </a:solidFill>
                <a:latin typeface="Calibri"/>
              </a:rPr>
              <a:t>APS scenario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LIT_FEC!$R$1:$R$2</c:f>
              <c:strCache>
                <c:ptCount val="2"/>
                <c:pt idx="0">
                  <c:v>APS</c:v>
                </c:pt>
                <c:pt idx="1">
                  <c:v>Industry</c:v>
                </c:pt>
              </c:strCache>
            </c:strRef>
          </c:tx>
          <c:spPr>
            <a:ln w="28440" cap="rnd">
              <a:solidFill>
                <a:srgbClr val="4472C4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LIT_FEC!$A$3:$A$53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LIT_FEC!$R$3:$R$53</c:f>
              <c:numCache>
                <c:formatCode>0</c:formatCode>
                <c:ptCount val="51"/>
                <c:pt idx="0">
                  <c:v>2154.75</c:v>
                </c:pt>
                <c:pt idx="1">
                  <c:v>2226.9</c:v>
                </c:pt>
                <c:pt idx="2">
                  <c:v>2468.44</c:v>
                </c:pt>
                <c:pt idx="3">
                  <c:v>2499.75</c:v>
                </c:pt>
                <c:pt idx="4">
                  <c:v>2671.76</c:v>
                </c:pt>
                <c:pt idx="5">
                  <c:v>2688.4700000000003</c:v>
                </c:pt>
                <c:pt idx="6">
                  <c:v>2770.1200000000003</c:v>
                </c:pt>
                <c:pt idx="7">
                  <c:v>2960.64</c:v>
                </c:pt>
                <c:pt idx="8">
                  <c:v>2653.92</c:v>
                </c:pt>
                <c:pt idx="9">
                  <c:v>2330.64</c:v>
                </c:pt>
                <c:pt idx="10">
                  <c:v>2537.2799999999997</c:v>
                </c:pt>
                <c:pt idx="11">
                  <c:v>2717.52</c:v>
                </c:pt>
                <c:pt idx="12">
                  <c:v>2757.01</c:v>
                </c:pt>
                <c:pt idx="13">
                  <c:v>2898.75</c:v>
                </c:pt>
                <c:pt idx="14">
                  <c:v>3019.6400000000003</c:v>
                </c:pt>
                <c:pt idx="15">
                  <c:v>3188.8399999999997</c:v>
                </c:pt>
                <c:pt idx="16">
                  <c:v>3317.7</c:v>
                </c:pt>
                <c:pt idx="17">
                  <c:v>3467.24</c:v>
                </c:pt>
                <c:pt idx="18">
                  <c:v>3585.85</c:v>
                </c:pt>
                <c:pt idx="19">
                  <c:v>3612.8199999999997</c:v>
                </c:pt>
                <c:pt idx="20">
                  <c:v>3538.03</c:v>
                </c:pt>
                <c:pt idx="21">
                  <c:v>3720.8999999999996</c:v>
                </c:pt>
                <c:pt idx="22">
                  <c:v>3426.56</c:v>
                </c:pt>
                <c:pt idx="23">
                  <c:v>3251.2000000000003</c:v>
                </c:pt>
                <c:pt idx="24">
                  <c:v>3420.1542857142863</c:v>
                </c:pt>
                <c:pt idx="25">
                  <c:v>3142.3489147542127</c:v>
                </c:pt>
                <c:pt idx="26">
                  <c:v>3064.9153755423563</c:v>
                </c:pt>
                <c:pt idx="27">
                  <c:v>2983.1795962922374</c:v>
                </c:pt>
                <c:pt idx="28">
                  <c:v>2902.7568785947365</c:v>
                </c:pt>
                <c:pt idx="29">
                  <c:v>2821.7670465602332</c:v>
                </c:pt>
                <c:pt idx="30">
                  <c:v>2740.2602526389619</c:v>
                </c:pt>
                <c:pt idx="31">
                  <c:v>2593.9924602392698</c:v>
                </c:pt>
                <c:pt idx="32">
                  <c:v>2448.8492028114861</c:v>
                </c:pt>
                <c:pt idx="33">
                  <c:v>2304.8127669856531</c:v>
                </c:pt>
                <c:pt idx="34">
                  <c:v>2161.8890572184232</c:v>
                </c:pt>
                <c:pt idx="35">
                  <c:v>2020.0615122289423</c:v>
                </c:pt>
                <c:pt idx="36">
                  <c:v>1879.3073302537127</c:v>
                </c:pt>
                <c:pt idx="37">
                  <c:v>1739.5807157508937</c:v>
                </c:pt>
                <c:pt idx="38">
                  <c:v>1600.8715879408342</c:v>
                </c:pt>
                <c:pt idx="39">
                  <c:v>1463.0987245417746</c:v>
                </c:pt>
                <c:pt idx="40">
                  <c:v>1326.2134497891166</c:v>
                </c:pt>
                <c:pt idx="41">
                  <c:v>1190.1699681410171</c:v>
                </c:pt>
                <c:pt idx="42">
                  <c:v>1054.9407254664306</c:v>
                </c:pt>
                <c:pt idx="43">
                  <c:v>920.47800607500972</c:v>
                </c:pt>
                <c:pt idx="44">
                  <c:v>786.75473587283477</c:v>
                </c:pt>
                <c:pt idx="45">
                  <c:v>653.76280223247284</c:v>
                </c:pt>
                <c:pt idx="46">
                  <c:v>521.48487581366658</c:v>
                </c:pt>
                <c:pt idx="47">
                  <c:v>389.93017332924006</c:v>
                </c:pt>
                <c:pt idx="48">
                  <c:v>259.12509682113563</c:v>
                </c:pt>
                <c:pt idx="49">
                  <c:v>129.12480255515737</c:v>
                </c:pt>
                <c:pt idx="5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32-455D-944B-A3D2F4C9966F}"/>
            </c:ext>
          </c:extLst>
        </c:ser>
        <c:ser>
          <c:idx val="1"/>
          <c:order val="1"/>
          <c:tx>
            <c:strRef>
              <c:f>LIT_FEC!$S$1:$S$2</c:f>
              <c:strCache>
                <c:ptCount val="2"/>
                <c:pt idx="0">
                  <c:v>APS</c:v>
                </c:pt>
                <c:pt idx="1">
                  <c:v>Buildings</c:v>
                </c:pt>
              </c:strCache>
            </c:strRef>
          </c:tx>
          <c:spPr>
            <a:ln w="28440" cap="rnd">
              <a:solidFill>
                <a:srgbClr val="ED7D31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LIT_FEC!$A$3:$A$53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LIT_FEC!$S$3:$S$53</c:f>
              <c:numCache>
                <c:formatCode>0</c:formatCode>
                <c:ptCount val="51"/>
                <c:pt idx="0">
                  <c:v>3618.28</c:v>
                </c:pt>
                <c:pt idx="1">
                  <c:v>3732.1800000000003</c:v>
                </c:pt>
                <c:pt idx="2">
                  <c:v>3811.9100000000003</c:v>
                </c:pt>
                <c:pt idx="3">
                  <c:v>4384.0600000000004</c:v>
                </c:pt>
                <c:pt idx="4">
                  <c:v>4704.8</c:v>
                </c:pt>
                <c:pt idx="5">
                  <c:v>4815</c:v>
                </c:pt>
                <c:pt idx="6">
                  <c:v>5314.8899999999994</c:v>
                </c:pt>
                <c:pt idx="7">
                  <c:v>5458.42</c:v>
                </c:pt>
                <c:pt idx="8">
                  <c:v>6016.32</c:v>
                </c:pt>
                <c:pt idx="9">
                  <c:v>5779.67</c:v>
                </c:pt>
                <c:pt idx="10">
                  <c:v>5361.3</c:v>
                </c:pt>
                <c:pt idx="11">
                  <c:v>5662.14</c:v>
                </c:pt>
                <c:pt idx="12">
                  <c:v>5742.64</c:v>
                </c:pt>
                <c:pt idx="13">
                  <c:v>5755.2</c:v>
                </c:pt>
                <c:pt idx="14">
                  <c:v>5779.5</c:v>
                </c:pt>
                <c:pt idx="15">
                  <c:v>5851.3</c:v>
                </c:pt>
                <c:pt idx="16">
                  <c:v>6153.68</c:v>
                </c:pt>
                <c:pt idx="17">
                  <c:v>6076.75</c:v>
                </c:pt>
                <c:pt idx="18">
                  <c:v>6542.12</c:v>
                </c:pt>
                <c:pt idx="19">
                  <c:v>6514.8300000000008</c:v>
                </c:pt>
                <c:pt idx="20">
                  <c:v>6310.9800000000005</c:v>
                </c:pt>
                <c:pt idx="21">
                  <c:v>6885.58</c:v>
                </c:pt>
                <c:pt idx="22">
                  <c:v>6819.93</c:v>
                </c:pt>
                <c:pt idx="23">
                  <c:v>6457.62</c:v>
                </c:pt>
                <c:pt idx="24">
                  <c:v>7357.8400000000011</c:v>
                </c:pt>
                <c:pt idx="25">
                  <c:v>7598.8724303295548</c:v>
                </c:pt>
                <c:pt idx="26">
                  <c:v>8127.3945808191811</c:v>
                </c:pt>
                <c:pt idx="27">
                  <c:v>8645.6811152718528</c:v>
                </c:pt>
                <c:pt idx="28">
                  <c:v>9167.9671666375834</c:v>
                </c:pt>
                <c:pt idx="29">
                  <c:v>9688.5299161975436</c:v>
                </c:pt>
                <c:pt idx="30">
                  <c:v>10206.733081936411</c:v>
                </c:pt>
                <c:pt idx="31">
                  <c:v>10338.962993062078</c:v>
                </c:pt>
                <c:pt idx="32">
                  <c:v>10471.819358438903</c:v>
                </c:pt>
                <c:pt idx="33">
                  <c:v>10605.361397658575</c:v>
                </c:pt>
                <c:pt idx="34">
                  <c:v>10739.776801512549</c:v>
                </c:pt>
                <c:pt idx="35">
                  <c:v>10875.186375446003</c:v>
                </c:pt>
                <c:pt idx="36">
                  <c:v>11011.705030109624</c:v>
                </c:pt>
                <c:pt idx="37">
                  <c:v>11149.328963915568</c:v>
                </c:pt>
                <c:pt idx="38">
                  <c:v>11288.287612805249</c:v>
                </c:pt>
                <c:pt idx="39">
                  <c:v>11428.335856485441</c:v>
                </c:pt>
                <c:pt idx="40">
                  <c:v>11569.374455877994</c:v>
                </c:pt>
                <c:pt idx="41">
                  <c:v>11711.262327922404</c:v>
                </c:pt>
                <c:pt idx="42">
                  <c:v>11853.964876945045</c:v>
                </c:pt>
                <c:pt idx="43">
                  <c:v>11997.146450429294</c:v>
                </c:pt>
                <c:pt idx="44">
                  <c:v>12140.526003095463</c:v>
                </c:pt>
                <c:pt idx="45">
                  <c:v>12283.927382384796</c:v>
                </c:pt>
                <c:pt idx="46">
                  <c:v>12426.770869479737</c:v>
                </c:pt>
                <c:pt idx="47">
                  <c:v>12568.531918066816</c:v>
                </c:pt>
                <c:pt idx="48">
                  <c:v>12708.511491880005</c:v>
                </c:pt>
                <c:pt idx="49">
                  <c:v>12846.235879396914</c:v>
                </c:pt>
                <c:pt idx="50">
                  <c:v>12981.363255417975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32-455D-944B-A3D2F4C9966F}"/>
            </c:ext>
          </c:extLst>
        </c:ser>
        <c:ser>
          <c:idx val="2"/>
          <c:order val="2"/>
          <c:tx>
            <c:strRef>
              <c:f>LIT_FEC!$T$1:$T$2</c:f>
              <c:strCache>
                <c:ptCount val="2"/>
                <c:pt idx="0">
                  <c:v>APS</c:v>
                </c:pt>
                <c:pt idx="1">
                  <c:v>Transport</c:v>
                </c:pt>
              </c:strCache>
            </c:strRef>
          </c:tx>
          <c:spPr>
            <a:ln w="28440" cap="rnd">
              <a:solidFill>
                <a:srgbClr val="A5A5A5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LIT_FEC!$A$3:$A$53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LIT_FEC!$T$3:$T$53</c:f>
              <c:numCache>
                <c:formatCode>0</c:formatCode>
                <c:ptCount val="51"/>
                <c:pt idx="0">
                  <c:v>73.704000000000008</c:v>
                </c:pt>
                <c:pt idx="1">
                  <c:v>94.241</c:v>
                </c:pt>
                <c:pt idx="2">
                  <c:v>83.382000000000005</c:v>
                </c:pt>
                <c:pt idx="3">
                  <c:v>85.146000000000001</c:v>
                </c:pt>
                <c:pt idx="4">
                  <c:v>93.498000000000005</c:v>
                </c:pt>
                <c:pt idx="5">
                  <c:v>100.33800000000001</c:v>
                </c:pt>
                <c:pt idx="6">
                  <c:v>90.144999999999996</c:v>
                </c:pt>
                <c:pt idx="7">
                  <c:v>64.305000000000007</c:v>
                </c:pt>
                <c:pt idx="8">
                  <c:v>85.963999999999999</c:v>
                </c:pt>
                <c:pt idx="9">
                  <c:v>70.06</c:v>
                </c:pt>
                <c:pt idx="10">
                  <c:v>72.16</c:v>
                </c:pt>
                <c:pt idx="11">
                  <c:v>71.832000000000008</c:v>
                </c:pt>
                <c:pt idx="12">
                  <c:v>73.244</c:v>
                </c:pt>
                <c:pt idx="13">
                  <c:v>73.444000000000003</c:v>
                </c:pt>
                <c:pt idx="14">
                  <c:v>61.067999999999998</c:v>
                </c:pt>
                <c:pt idx="15">
                  <c:v>64.349999999999994</c:v>
                </c:pt>
                <c:pt idx="16">
                  <c:v>68.718000000000004</c:v>
                </c:pt>
                <c:pt idx="17">
                  <c:v>72.405000000000001</c:v>
                </c:pt>
                <c:pt idx="18">
                  <c:v>77.289000000000001</c:v>
                </c:pt>
                <c:pt idx="19">
                  <c:v>79.704000000000008</c:v>
                </c:pt>
                <c:pt idx="20">
                  <c:v>76.418999999999997</c:v>
                </c:pt>
                <c:pt idx="21">
                  <c:v>77.322000000000003</c:v>
                </c:pt>
                <c:pt idx="22">
                  <c:v>103.02800000000001</c:v>
                </c:pt>
                <c:pt idx="23">
                  <c:v>105.30800000000001</c:v>
                </c:pt>
                <c:pt idx="24">
                  <c:v>110.14714285714287</c:v>
                </c:pt>
                <c:pt idx="25">
                  <c:v>649.15580773924262</c:v>
                </c:pt>
                <c:pt idx="26">
                  <c:v>1184.3202426667451</c:v>
                </c:pt>
                <c:pt idx="27">
                  <c:v>1717.4055693553742</c:v>
                </c:pt>
                <c:pt idx="28">
                  <c:v>2250.0728661901217</c:v>
                </c:pt>
                <c:pt idx="29">
                  <c:v>2781.0265543838382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F32-455D-944B-A3D2F4C996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91998014"/>
        <c:axId val="17925761"/>
      </c:lineChart>
      <c:catAx>
        <c:axId val="9199801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17925761"/>
        <c:crosses val="autoZero"/>
        <c:auto val="1"/>
        <c:lblAlgn val="ctr"/>
        <c:lblOffset val="100"/>
        <c:noMultiLvlLbl val="0"/>
      </c:catAx>
      <c:valAx>
        <c:axId val="17925761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lang="en-US" sz="1000" b="0" strike="noStrike" spc="-1">
                    <a:solidFill>
                      <a:srgbClr val="595959"/>
                    </a:solidFill>
                    <a:latin typeface="Calibri"/>
                  </a:defRPr>
                </a:pPr>
                <a:r>
                  <a:rPr lang="en-US" sz="1000" b="0" strike="noStrike" spc="-1">
                    <a:solidFill>
                      <a:srgbClr val="595959"/>
                    </a:solidFill>
                    <a:latin typeface="Calibri"/>
                  </a:rPr>
                  <a:t>GWh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648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91998014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900" b="0" strike="noStrike" spc="-1">
              <a:solidFill>
                <a:srgbClr val="595959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lang="en-US" sz="1400" b="0" strike="noStrike" spc="-1">
                <a:solidFill>
                  <a:srgbClr val="595959"/>
                </a:solidFill>
                <a:latin typeface="Calibri"/>
              </a:defRPr>
            </a:pPr>
            <a:r>
              <a:rPr lang="en-US" sz="1400" b="0" strike="noStrike" spc="-1">
                <a:solidFill>
                  <a:srgbClr val="595959"/>
                </a:solidFill>
                <a:latin typeface="Calibri"/>
              </a:rPr>
              <a:t>EURELECTRIC scenario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LIT_FEC!$V$1:$V$2</c:f>
              <c:strCache>
                <c:ptCount val="2"/>
                <c:pt idx="0">
                  <c:v>EURELECTRIC</c:v>
                </c:pt>
                <c:pt idx="1">
                  <c:v>Industry</c:v>
                </c:pt>
              </c:strCache>
            </c:strRef>
          </c:tx>
          <c:spPr>
            <a:ln w="28440" cap="rnd">
              <a:solidFill>
                <a:srgbClr val="4472C4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LIT_FEC!$A$3:$A$53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LIT_FEC!$V$3:$V$53</c:f>
              <c:numCache>
                <c:formatCode>0</c:formatCode>
                <c:ptCount val="51"/>
                <c:pt idx="0">
                  <c:v>2154.75</c:v>
                </c:pt>
                <c:pt idx="1">
                  <c:v>2226.9</c:v>
                </c:pt>
                <c:pt idx="2">
                  <c:v>2468.44</c:v>
                </c:pt>
                <c:pt idx="3">
                  <c:v>2499.75</c:v>
                </c:pt>
                <c:pt idx="4">
                  <c:v>2671.76</c:v>
                </c:pt>
                <c:pt idx="5">
                  <c:v>2688.4700000000003</c:v>
                </c:pt>
                <c:pt idx="6">
                  <c:v>2770.1200000000003</c:v>
                </c:pt>
                <c:pt idx="7">
                  <c:v>2960.64</c:v>
                </c:pt>
                <c:pt idx="8">
                  <c:v>2653.92</c:v>
                </c:pt>
                <c:pt idx="9">
                  <c:v>2330.64</c:v>
                </c:pt>
                <c:pt idx="10">
                  <c:v>2537.2799999999997</c:v>
                </c:pt>
                <c:pt idx="11">
                  <c:v>2717.52</c:v>
                </c:pt>
                <c:pt idx="12">
                  <c:v>2757.01</c:v>
                </c:pt>
                <c:pt idx="13">
                  <c:v>2898.75</c:v>
                </c:pt>
                <c:pt idx="14">
                  <c:v>3019.6400000000003</c:v>
                </c:pt>
                <c:pt idx="15">
                  <c:v>3188.8399999999997</c:v>
                </c:pt>
                <c:pt idx="16">
                  <c:v>3317.7</c:v>
                </c:pt>
                <c:pt idx="17">
                  <c:v>3467.24</c:v>
                </c:pt>
                <c:pt idx="18">
                  <c:v>3585.85</c:v>
                </c:pt>
                <c:pt idx="19">
                  <c:v>3612.8199999999997</c:v>
                </c:pt>
                <c:pt idx="20">
                  <c:v>3538.03</c:v>
                </c:pt>
                <c:pt idx="21">
                  <c:v>3720.8999999999996</c:v>
                </c:pt>
                <c:pt idx="22">
                  <c:v>3426.56</c:v>
                </c:pt>
                <c:pt idx="23">
                  <c:v>3251.2000000000003</c:v>
                </c:pt>
                <c:pt idx="24">
                  <c:v>3399.8519999999999</c:v>
                </c:pt>
                <c:pt idx="25">
                  <c:v>3305.2481356563358</c:v>
                </c:pt>
                <c:pt idx="26">
                  <c:v>3409.3517386191543</c:v>
                </c:pt>
                <c:pt idx="27">
                  <c:v>3507.8865222209652</c:v>
                </c:pt>
                <c:pt idx="28">
                  <c:v>3606.9306892186578</c:v>
                </c:pt>
                <c:pt idx="29">
                  <c:v>3704.2056007148749</c:v>
                </c:pt>
                <c:pt idx="30">
                  <c:v>3799.5738225248551</c:v>
                </c:pt>
                <c:pt idx="31">
                  <c:v>3892.8848836777915</c:v>
                </c:pt>
                <c:pt idx="32">
                  <c:v>3985.6784350285693</c:v>
                </c:pt>
                <c:pt idx="33">
                  <c:v>4077.987077098524</c:v>
                </c:pt>
                <c:pt idx="34">
                  <c:v>4169.8936502945608</c:v>
                </c:pt>
                <c:pt idx="35">
                  <c:v>4261.456924717535</c:v>
                </c:pt>
                <c:pt idx="36">
                  <c:v>4352.7343059183195</c:v>
                </c:pt>
                <c:pt idx="37">
                  <c:v>4443.7366360687874</c:v>
                </c:pt>
                <c:pt idx="38">
                  <c:v>4534.5675920762351</c:v>
                </c:pt>
                <c:pt idx="39">
                  <c:v>4625.1407912597924</c:v>
                </c:pt>
                <c:pt idx="40">
                  <c:v>4715.4255992501958</c:v>
                </c:pt>
                <c:pt idx="41">
                  <c:v>4839.0449733470195</c:v>
                </c:pt>
                <c:pt idx="42">
                  <c:v>4962.1285975643259</c:v>
                </c:pt>
                <c:pt idx="43">
                  <c:v>5084.5451764143445</c:v>
                </c:pt>
                <c:pt idx="44">
                  <c:v>5206.1794867634562</c:v>
                </c:pt>
                <c:pt idx="45">
                  <c:v>5326.9561663386748</c:v>
                </c:pt>
                <c:pt idx="46">
                  <c:v>5446.6198140538609</c:v>
                </c:pt>
                <c:pt idx="47">
                  <c:v>5564.9293872666985</c:v>
                </c:pt>
                <c:pt idx="48">
                  <c:v>5681.5576784486229</c:v>
                </c:pt>
                <c:pt idx="49">
                  <c:v>5796.2689146982157</c:v>
                </c:pt>
                <c:pt idx="50">
                  <c:v>5908.8817415450158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72-4A07-AE70-21B9FA2B9803}"/>
            </c:ext>
          </c:extLst>
        </c:ser>
        <c:ser>
          <c:idx val="1"/>
          <c:order val="1"/>
          <c:tx>
            <c:strRef>
              <c:f>LIT_FEC!$W$1:$W$2</c:f>
              <c:strCache>
                <c:ptCount val="2"/>
                <c:pt idx="0">
                  <c:v>EURELECTRIC</c:v>
                </c:pt>
                <c:pt idx="1">
                  <c:v>Buildings</c:v>
                </c:pt>
              </c:strCache>
            </c:strRef>
          </c:tx>
          <c:spPr>
            <a:ln w="28440" cap="rnd">
              <a:solidFill>
                <a:srgbClr val="ED7D31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LIT_FEC!$A$3:$A$53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LIT_FEC!$W$3:$W$53</c:f>
              <c:numCache>
                <c:formatCode>0</c:formatCode>
                <c:ptCount val="51"/>
                <c:pt idx="0">
                  <c:v>3618.28</c:v>
                </c:pt>
                <c:pt idx="1">
                  <c:v>3732.1800000000003</c:v>
                </c:pt>
                <c:pt idx="2">
                  <c:v>3811.9100000000003</c:v>
                </c:pt>
                <c:pt idx="3">
                  <c:v>4384.0600000000004</c:v>
                </c:pt>
                <c:pt idx="4">
                  <c:v>4704.8</c:v>
                </c:pt>
                <c:pt idx="5">
                  <c:v>4815</c:v>
                </c:pt>
                <c:pt idx="6">
                  <c:v>5314.8899999999994</c:v>
                </c:pt>
                <c:pt idx="7">
                  <c:v>5458.42</c:v>
                </c:pt>
                <c:pt idx="8">
                  <c:v>6016.32</c:v>
                </c:pt>
                <c:pt idx="9">
                  <c:v>5779.67</c:v>
                </c:pt>
                <c:pt idx="10">
                  <c:v>5361.3</c:v>
                </c:pt>
                <c:pt idx="11">
                  <c:v>5662.14</c:v>
                </c:pt>
                <c:pt idx="12">
                  <c:v>5742.64</c:v>
                </c:pt>
                <c:pt idx="13">
                  <c:v>5755.2</c:v>
                </c:pt>
                <c:pt idx="14">
                  <c:v>5779.5</c:v>
                </c:pt>
                <c:pt idx="15">
                  <c:v>5851.3</c:v>
                </c:pt>
                <c:pt idx="16">
                  <c:v>6153.68</c:v>
                </c:pt>
                <c:pt idx="17">
                  <c:v>6076.75</c:v>
                </c:pt>
                <c:pt idx="18">
                  <c:v>6542.12</c:v>
                </c:pt>
                <c:pt idx="19">
                  <c:v>6514.8300000000008</c:v>
                </c:pt>
                <c:pt idx="20">
                  <c:v>6310.9800000000005</c:v>
                </c:pt>
                <c:pt idx="21">
                  <c:v>6885.58</c:v>
                </c:pt>
                <c:pt idx="22">
                  <c:v>6819.93</c:v>
                </c:pt>
                <c:pt idx="23">
                  <c:v>6457.62</c:v>
                </c:pt>
                <c:pt idx="24">
                  <c:v>7296.0094117647059</c:v>
                </c:pt>
                <c:pt idx="25">
                  <c:v>7479.6744314224234</c:v>
                </c:pt>
                <c:pt idx="26">
                  <c:v>7948.1138180069911</c:v>
                </c:pt>
                <c:pt idx="27">
                  <c:v>8406.3543023923539</c:v>
                </c:pt>
                <c:pt idx="28">
                  <c:v>8868.3603964860249</c:v>
                </c:pt>
                <c:pt idx="29">
                  <c:v>9328.5845323140384</c:v>
                </c:pt>
                <c:pt idx="30">
                  <c:v>9786.4558373860855</c:v>
                </c:pt>
                <c:pt idx="31">
                  <c:v>10241.354773084002</c:v>
                </c:pt>
                <c:pt idx="32">
                  <c:v>10697.181324545907</c:v>
                </c:pt>
                <c:pt idx="33">
                  <c:v>11154.044163093778</c:v>
                </c:pt>
                <c:pt idx="34">
                  <c:v>11612.195645332893</c:v>
                </c:pt>
                <c:pt idx="35">
                  <c:v>12071.833180771891</c:v>
                </c:pt>
                <c:pt idx="36">
                  <c:v>12533.158119085096</c:v>
                </c:pt>
                <c:pt idx="37">
                  <c:v>12996.242822035452</c:v>
                </c:pt>
                <c:pt idx="38">
                  <c:v>13461.433891206258</c:v>
                </c:pt>
                <c:pt idx="39">
                  <c:v>13928.520369702017</c:v>
                </c:pt>
                <c:pt idx="40">
                  <c:v>14397.443767314835</c:v>
                </c:pt>
                <c:pt idx="41">
                  <c:v>14516.817479007112</c:v>
                </c:pt>
                <c:pt idx="42">
                  <c:v>14637.069674140836</c:v>
                </c:pt>
                <c:pt idx="43">
                  <c:v>14757.78014977539</c:v>
                </c:pt>
                <c:pt idx="44">
                  <c:v>14878.602080389333</c:v>
                </c:pt>
                <c:pt idx="45">
                  <c:v>14999.321856385644</c:v>
                </c:pt>
                <c:pt idx="46">
                  <c:v>15119.237891200344</c:v>
                </c:pt>
                <c:pt idx="47">
                  <c:v>15237.725294481006</c:v>
                </c:pt>
                <c:pt idx="48">
                  <c:v>15353.956741210128</c:v>
                </c:pt>
                <c:pt idx="49">
                  <c:v>15467.387038627396</c:v>
                </c:pt>
                <c:pt idx="50">
                  <c:v>15577.635906501569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72-4A07-AE70-21B9FA2B9803}"/>
            </c:ext>
          </c:extLst>
        </c:ser>
        <c:ser>
          <c:idx val="2"/>
          <c:order val="2"/>
          <c:tx>
            <c:strRef>
              <c:f>LIT_FEC!$X$1:$X$2</c:f>
              <c:strCache>
                <c:ptCount val="2"/>
                <c:pt idx="0">
                  <c:v>EURELECTRIC</c:v>
                </c:pt>
                <c:pt idx="1">
                  <c:v>Transport</c:v>
                </c:pt>
              </c:strCache>
            </c:strRef>
          </c:tx>
          <c:spPr>
            <a:ln w="28440" cap="rnd">
              <a:solidFill>
                <a:srgbClr val="A5A5A5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LIT_FEC!$A$3:$A$53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LIT_FEC!$X$3:$X$53</c:f>
              <c:numCache>
                <c:formatCode>0</c:formatCode>
                <c:ptCount val="51"/>
                <c:pt idx="0">
                  <c:v>73.704000000000008</c:v>
                </c:pt>
                <c:pt idx="1">
                  <c:v>94.241</c:v>
                </c:pt>
                <c:pt idx="2">
                  <c:v>83.382000000000005</c:v>
                </c:pt>
                <c:pt idx="3">
                  <c:v>85.146000000000001</c:v>
                </c:pt>
                <c:pt idx="4">
                  <c:v>93.498000000000005</c:v>
                </c:pt>
                <c:pt idx="5">
                  <c:v>100.33800000000001</c:v>
                </c:pt>
                <c:pt idx="6">
                  <c:v>90.144999999999996</c:v>
                </c:pt>
                <c:pt idx="7">
                  <c:v>64.305000000000007</c:v>
                </c:pt>
                <c:pt idx="8">
                  <c:v>85.963999999999999</c:v>
                </c:pt>
                <c:pt idx="9">
                  <c:v>70.06</c:v>
                </c:pt>
                <c:pt idx="10">
                  <c:v>72.16</c:v>
                </c:pt>
                <c:pt idx="11">
                  <c:v>71.832000000000008</c:v>
                </c:pt>
                <c:pt idx="12">
                  <c:v>73.244</c:v>
                </c:pt>
                <c:pt idx="13">
                  <c:v>73.444000000000003</c:v>
                </c:pt>
                <c:pt idx="14">
                  <c:v>61.067999999999998</c:v>
                </c:pt>
                <c:pt idx="15">
                  <c:v>64.349999999999994</c:v>
                </c:pt>
                <c:pt idx="16">
                  <c:v>68.718000000000004</c:v>
                </c:pt>
                <c:pt idx="17">
                  <c:v>72.405000000000001</c:v>
                </c:pt>
                <c:pt idx="18">
                  <c:v>77.289000000000001</c:v>
                </c:pt>
                <c:pt idx="19">
                  <c:v>79.704000000000008</c:v>
                </c:pt>
                <c:pt idx="20">
                  <c:v>76.418999999999997</c:v>
                </c:pt>
                <c:pt idx="21">
                  <c:v>77.322000000000003</c:v>
                </c:pt>
                <c:pt idx="22">
                  <c:v>103.02800000000001</c:v>
                </c:pt>
                <c:pt idx="23">
                  <c:v>105.30800000000001</c:v>
                </c:pt>
                <c:pt idx="24">
                  <c:v>125.9349</c:v>
                </c:pt>
                <c:pt idx="25">
                  <c:v>623.97715416700362</c:v>
                </c:pt>
                <c:pt idx="26">
                  <c:v>1117.511209622762</c:v>
                </c:pt>
                <c:pt idx="27">
                  <c:v>1609.0897542103353</c:v>
                </c:pt>
                <c:pt idx="28">
                  <c:v>2100.290473275516</c:v>
                </c:pt>
                <c:pt idx="29">
                  <c:v>2589.9024092465165</c:v>
                </c:pt>
                <c:pt idx="30">
                  <c:v>3077.3981447797364</c:v>
                </c:pt>
                <c:pt idx="31">
                  <c:v>3562.2219047732051</c:v>
                </c:pt>
                <c:pt idx="32">
                  <c:v>4045.5133367644034</c:v>
                </c:pt>
                <c:pt idx="33">
                  <c:v>4527.3643233841012</c:v>
                </c:pt>
                <c:pt idx="34">
                  <c:v>5007.9323971150407</c:v>
                </c:pt>
                <c:pt idx="35">
                  <c:v>5487.3663048588369</c:v>
                </c:pt>
                <c:pt idx="36">
                  <c:v>5965.8247989296488</c:v>
                </c:pt>
                <c:pt idx="37">
                  <c:v>6443.4093866621597</c:v>
                </c:pt>
                <c:pt idx="38">
                  <c:v>6920.3583819047653</c:v>
                </c:pt>
                <c:pt idx="39">
                  <c:v>7396.6290070808964</c:v>
                </c:pt>
                <c:pt idx="40">
                  <c:v>7872.2388777026954</c:v>
                </c:pt>
                <c:pt idx="41">
                  <c:v>8650.0747987419509</c:v>
                </c:pt>
                <c:pt idx="42">
                  <c:v>9426.6174076143852</c:v>
                </c:pt>
                <c:pt idx="43">
                  <c:v>10201.667287741802</c:v>
                </c:pt>
                <c:pt idx="44">
                  <c:v>10974.997809881806</c:v>
                </c:pt>
                <c:pt idx="45">
                  <c:v>11746.422457773033</c:v>
                </c:pt>
                <c:pt idx="46">
                  <c:v>12515.313345078537</c:v>
                </c:pt>
                <c:pt idx="47">
                  <c:v>13280.988233076776</c:v>
                </c:pt>
                <c:pt idx="48">
                  <c:v>14042.477382833071</c:v>
                </c:pt>
                <c:pt idx="49">
                  <c:v>14798.949269503959</c:v>
                </c:pt>
                <c:pt idx="50">
                  <c:v>15549.658183951369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72-4A07-AE70-21B9FA2B98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68800864"/>
        <c:axId val="60178892"/>
      </c:lineChart>
      <c:catAx>
        <c:axId val="688008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60178892"/>
        <c:crosses val="autoZero"/>
        <c:auto val="1"/>
        <c:lblAlgn val="ctr"/>
        <c:lblOffset val="100"/>
        <c:noMultiLvlLbl val="0"/>
      </c:catAx>
      <c:valAx>
        <c:axId val="60178892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lang="en-US" sz="1000" b="0" strike="noStrike" spc="-1">
                    <a:solidFill>
                      <a:srgbClr val="595959"/>
                    </a:solidFill>
                    <a:latin typeface="Calibri"/>
                  </a:defRPr>
                </a:pPr>
                <a:r>
                  <a:rPr lang="en-US" sz="1000" b="0" strike="noStrike" spc="-1">
                    <a:solidFill>
                      <a:srgbClr val="595959"/>
                    </a:solidFill>
                    <a:latin typeface="Calibri"/>
                  </a:rPr>
                  <a:t>GWh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648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68800864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900" b="0" strike="noStrike" spc="-1">
              <a:solidFill>
                <a:srgbClr val="595959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lang="en-US" sz="1400" b="0" strike="noStrike" spc="-1">
                <a:solidFill>
                  <a:srgbClr val="595959"/>
                </a:solidFill>
                <a:latin typeface="Calibri"/>
              </a:defRPr>
            </a:pPr>
            <a:r>
              <a:rPr lang="en-US" sz="1400" b="0" strike="noStrike" spc="-1">
                <a:solidFill>
                  <a:srgbClr val="595959"/>
                </a:solidFill>
                <a:latin typeface="Calibri"/>
              </a:rPr>
              <a:t>JRC scenario 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LIT_FEC!$Z$1:$Z$2</c:f>
              <c:strCache>
                <c:ptCount val="2"/>
                <c:pt idx="0">
                  <c:v>JRC</c:v>
                </c:pt>
                <c:pt idx="1">
                  <c:v>Industry</c:v>
                </c:pt>
              </c:strCache>
            </c:strRef>
          </c:tx>
          <c:spPr>
            <a:ln w="28440" cap="rnd">
              <a:solidFill>
                <a:srgbClr val="4472C4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LIT_FEC!$A$3:$A$53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LIT_FEC!$Z$3:$Z$53</c:f>
              <c:numCache>
                <c:formatCode>0</c:formatCode>
                <c:ptCount val="51"/>
                <c:pt idx="0">
                  <c:v>2154.75</c:v>
                </c:pt>
                <c:pt idx="1">
                  <c:v>2226.9</c:v>
                </c:pt>
                <c:pt idx="2">
                  <c:v>2468.44</c:v>
                </c:pt>
                <c:pt idx="3">
                  <c:v>2499.75</c:v>
                </c:pt>
                <c:pt idx="4">
                  <c:v>2671.76</c:v>
                </c:pt>
                <c:pt idx="5">
                  <c:v>2688.4700000000003</c:v>
                </c:pt>
                <c:pt idx="6">
                  <c:v>2770.1200000000003</c:v>
                </c:pt>
                <c:pt idx="7">
                  <c:v>2960.64</c:v>
                </c:pt>
                <c:pt idx="8">
                  <c:v>2653.92</c:v>
                </c:pt>
                <c:pt idx="9">
                  <c:v>2330.64</c:v>
                </c:pt>
                <c:pt idx="10">
                  <c:v>2537.2799999999997</c:v>
                </c:pt>
                <c:pt idx="11">
                  <c:v>2717.52</c:v>
                </c:pt>
                <c:pt idx="12">
                  <c:v>2757.01</c:v>
                </c:pt>
                <c:pt idx="13">
                  <c:v>2898.75</c:v>
                </c:pt>
                <c:pt idx="14">
                  <c:v>3019.6400000000003</c:v>
                </c:pt>
                <c:pt idx="15">
                  <c:v>3188.8399999999997</c:v>
                </c:pt>
                <c:pt idx="16">
                  <c:v>3317.7</c:v>
                </c:pt>
                <c:pt idx="17">
                  <c:v>3467.24</c:v>
                </c:pt>
                <c:pt idx="18">
                  <c:v>3585.85</c:v>
                </c:pt>
                <c:pt idx="19">
                  <c:v>3612.8199999999997</c:v>
                </c:pt>
                <c:pt idx="20">
                  <c:v>3538.03</c:v>
                </c:pt>
                <c:pt idx="21">
                  <c:v>3720.8999999999996</c:v>
                </c:pt>
                <c:pt idx="22">
                  <c:v>3426.56</c:v>
                </c:pt>
                <c:pt idx="23">
                  <c:v>3251.2000000000003</c:v>
                </c:pt>
                <c:pt idx="24">
                  <c:v>3399.8519999999999</c:v>
                </c:pt>
                <c:pt idx="25">
                  <c:v>3271.3975716595564</c:v>
                </c:pt>
                <c:pt idx="26">
                  <c:v>3341.7391639700672</c:v>
                </c:pt>
                <c:pt idx="27">
                  <c:v>3406.7528530734735</c:v>
                </c:pt>
                <c:pt idx="28">
                  <c:v>3472.4243185879877</c:v>
                </c:pt>
                <c:pt idx="29">
                  <c:v>3536.5512962410412</c:v>
                </c:pt>
                <c:pt idx="30">
                  <c:v>3599.0312719845042</c:v>
                </c:pt>
                <c:pt idx="31">
                  <c:v>3659.7503461375441</c:v>
                </c:pt>
                <c:pt idx="32">
                  <c:v>3720.1732587186825</c:v>
                </c:pt>
                <c:pt idx="33">
                  <c:v>3780.3255489338994</c:v>
                </c:pt>
                <c:pt idx="34">
                  <c:v>3840.2787099022403</c:v>
                </c:pt>
                <c:pt idx="35">
                  <c:v>3900.0807733726856</c:v>
                </c:pt>
                <c:pt idx="36">
                  <c:v>3959.7777976082489</c:v>
                </c:pt>
                <c:pt idx="37">
                  <c:v>4019.3731067634599</c:v>
                </c:pt>
                <c:pt idx="38">
                  <c:v>4078.9539130534258</c:v>
                </c:pt>
                <c:pt idx="39">
                  <c:v>4138.4359416526077</c:v>
                </c:pt>
                <c:pt idx="40">
                  <c:v>4197.7867313837851</c:v>
                </c:pt>
                <c:pt idx="41">
                  <c:v>4256.9580468582944</c:v>
                </c:pt>
                <c:pt idx="42">
                  <c:v>4315.9398341019787</c:v>
                </c:pt>
                <c:pt idx="43">
                  <c:v>4374.6119971257185</c:v>
                </c:pt>
                <c:pt idx="44">
                  <c:v>4432.8735497944253</c:v>
                </c:pt>
                <c:pt idx="45">
                  <c:v>4490.6612996652211</c:v>
                </c:pt>
                <c:pt idx="46">
                  <c:v>4547.7641164263096</c:v>
                </c:pt>
                <c:pt idx="47">
                  <c:v>4603.9903561276806</c:v>
                </c:pt>
                <c:pt idx="48">
                  <c:v>4659.0840058068115</c:v>
                </c:pt>
                <c:pt idx="49">
                  <c:v>4712.8713547980933</c:v>
                </c:pt>
                <c:pt idx="50">
                  <c:v>4765.2272109234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AD-4381-9481-5D8A1857F5C9}"/>
            </c:ext>
          </c:extLst>
        </c:ser>
        <c:ser>
          <c:idx val="1"/>
          <c:order val="1"/>
          <c:tx>
            <c:strRef>
              <c:f>LIT_FEC!$AA$1:$AA$2</c:f>
              <c:strCache>
                <c:ptCount val="2"/>
                <c:pt idx="0">
                  <c:v>JRC</c:v>
                </c:pt>
                <c:pt idx="1">
                  <c:v>Buildings</c:v>
                </c:pt>
              </c:strCache>
            </c:strRef>
          </c:tx>
          <c:spPr>
            <a:ln w="28440" cap="rnd">
              <a:solidFill>
                <a:srgbClr val="ED7D31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LIT_FEC!$A$3:$A$53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LIT_FEC!$AA$3:$AA$53</c:f>
              <c:numCache>
                <c:formatCode>0</c:formatCode>
                <c:ptCount val="51"/>
                <c:pt idx="0">
                  <c:v>3618.28</c:v>
                </c:pt>
                <c:pt idx="1">
                  <c:v>3732.1800000000003</c:v>
                </c:pt>
                <c:pt idx="2">
                  <c:v>3811.9100000000003</c:v>
                </c:pt>
                <c:pt idx="3">
                  <c:v>4384.0600000000004</c:v>
                </c:pt>
                <c:pt idx="4">
                  <c:v>4704.8</c:v>
                </c:pt>
                <c:pt idx="5">
                  <c:v>4815</c:v>
                </c:pt>
                <c:pt idx="6">
                  <c:v>5314.8899999999994</c:v>
                </c:pt>
                <c:pt idx="7">
                  <c:v>5458.42</c:v>
                </c:pt>
                <c:pt idx="8">
                  <c:v>6016.32</c:v>
                </c:pt>
                <c:pt idx="9">
                  <c:v>5779.67</c:v>
                </c:pt>
                <c:pt idx="10">
                  <c:v>5361.3</c:v>
                </c:pt>
                <c:pt idx="11">
                  <c:v>5662.14</c:v>
                </c:pt>
                <c:pt idx="12">
                  <c:v>5742.64</c:v>
                </c:pt>
                <c:pt idx="13">
                  <c:v>5755.2</c:v>
                </c:pt>
                <c:pt idx="14">
                  <c:v>5779.5</c:v>
                </c:pt>
                <c:pt idx="15">
                  <c:v>5851.3</c:v>
                </c:pt>
                <c:pt idx="16">
                  <c:v>6153.68</c:v>
                </c:pt>
                <c:pt idx="17">
                  <c:v>6076.75</c:v>
                </c:pt>
                <c:pt idx="18">
                  <c:v>6542.12</c:v>
                </c:pt>
                <c:pt idx="19">
                  <c:v>6514.8300000000008</c:v>
                </c:pt>
                <c:pt idx="20">
                  <c:v>6310.9800000000005</c:v>
                </c:pt>
                <c:pt idx="21">
                  <c:v>6885.58</c:v>
                </c:pt>
                <c:pt idx="22">
                  <c:v>6819.93</c:v>
                </c:pt>
                <c:pt idx="23">
                  <c:v>6457.62</c:v>
                </c:pt>
                <c:pt idx="24">
                  <c:v>7296.0094117647059</c:v>
                </c:pt>
                <c:pt idx="25">
                  <c:v>7253.1430492401223</c:v>
                </c:pt>
                <c:pt idx="26">
                  <c:v>7493.8252184119119</c:v>
                </c:pt>
                <c:pt idx="27">
                  <c:v>7724.1066865101757</c:v>
                </c:pt>
                <c:pt idx="28">
                  <c:v>7957.333884284446</c:v>
                </c:pt>
                <c:pt idx="29">
                  <c:v>8188.4797477139127</c:v>
                </c:pt>
                <c:pt idx="30">
                  <c:v>8417.2192589106326</c:v>
                </c:pt>
                <c:pt idx="31">
                  <c:v>8643.1939747535562</c:v>
                </c:pt>
                <c:pt idx="32">
                  <c:v>8869.8018265325536</c:v>
                </c:pt>
                <c:pt idx="33">
                  <c:v>9097.1101429006121</c:v>
                </c:pt>
                <c:pt idx="34">
                  <c:v>9325.299506199739</c:v>
                </c:pt>
                <c:pt idx="35">
                  <c:v>9554.4986131273272</c:v>
                </c:pt>
                <c:pt idx="36">
                  <c:v>9784.8347174374339</c:v>
                </c:pt>
                <c:pt idx="37">
                  <c:v>10016.331770226907</c:v>
                </c:pt>
                <c:pt idx="38">
                  <c:v>10249.224101604768</c:v>
                </c:pt>
                <c:pt idx="39">
                  <c:v>10483.318145212579</c:v>
                </c:pt>
                <c:pt idx="40">
                  <c:v>10718.545126491472</c:v>
                </c:pt>
                <c:pt idx="41">
                  <c:v>10954.792559416226</c:v>
                </c:pt>
                <c:pt idx="42">
                  <c:v>11192.042712034647</c:v>
                </c:pt>
                <c:pt idx="43">
                  <c:v>11429.989200283671</c:v>
                </c:pt>
                <c:pt idx="44">
                  <c:v>11668.366298066167</c:v>
                </c:pt>
                <c:pt idx="45">
                  <c:v>11907.000542856515</c:v>
                </c:pt>
                <c:pt idx="46">
                  <c:v>12145.318497299711</c:v>
                </c:pt>
                <c:pt idx="47">
                  <c:v>12382.783114030974</c:v>
                </c:pt>
                <c:pt idx="48">
                  <c:v>12618.668740236733</c:v>
                </c:pt>
                <c:pt idx="49">
                  <c:v>12852.45531095315</c:v>
                </c:pt>
                <c:pt idx="50">
                  <c:v>12851.549622863795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AD-4381-9481-5D8A1857F5C9}"/>
            </c:ext>
          </c:extLst>
        </c:ser>
        <c:ser>
          <c:idx val="2"/>
          <c:order val="2"/>
          <c:tx>
            <c:strRef>
              <c:f>LIT_FEC!$AB$1:$AB$2</c:f>
              <c:strCache>
                <c:ptCount val="2"/>
                <c:pt idx="0">
                  <c:v>JRC</c:v>
                </c:pt>
                <c:pt idx="1">
                  <c:v>Transport</c:v>
                </c:pt>
              </c:strCache>
            </c:strRef>
          </c:tx>
          <c:spPr>
            <a:ln w="28440" cap="rnd">
              <a:solidFill>
                <a:srgbClr val="A5A5A5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LIT_FEC!$A$3:$A$53</c:f>
              <c:numCache>
                <c:formatCode>General</c:formatCode>
                <c:ptCount val="5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  <c:pt idx="32">
                  <c:v>2032</c:v>
                </c:pt>
                <c:pt idx="33">
                  <c:v>2033</c:v>
                </c:pt>
                <c:pt idx="34">
                  <c:v>2034</c:v>
                </c:pt>
                <c:pt idx="35">
                  <c:v>2035</c:v>
                </c:pt>
                <c:pt idx="36">
                  <c:v>2036</c:v>
                </c:pt>
                <c:pt idx="37">
                  <c:v>2037</c:v>
                </c:pt>
                <c:pt idx="38">
                  <c:v>2038</c:v>
                </c:pt>
                <c:pt idx="39">
                  <c:v>2039</c:v>
                </c:pt>
                <c:pt idx="40">
                  <c:v>2040</c:v>
                </c:pt>
                <c:pt idx="41">
                  <c:v>2041</c:v>
                </c:pt>
                <c:pt idx="42">
                  <c:v>2042</c:v>
                </c:pt>
                <c:pt idx="43">
                  <c:v>2043</c:v>
                </c:pt>
                <c:pt idx="44">
                  <c:v>2044</c:v>
                </c:pt>
                <c:pt idx="45">
                  <c:v>2045</c:v>
                </c:pt>
                <c:pt idx="46">
                  <c:v>2046</c:v>
                </c:pt>
                <c:pt idx="47">
                  <c:v>2047</c:v>
                </c:pt>
                <c:pt idx="48">
                  <c:v>2048</c:v>
                </c:pt>
                <c:pt idx="49">
                  <c:v>2049</c:v>
                </c:pt>
                <c:pt idx="50">
                  <c:v>2050</c:v>
                </c:pt>
              </c:numCache>
            </c:numRef>
          </c:cat>
          <c:val>
            <c:numRef>
              <c:f>LIT_FEC!$AB$3:$AB$53</c:f>
              <c:numCache>
                <c:formatCode>0</c:formatCode>
                <c:ptCount val="51"/>
                <c:pt idx="0">
                  <c:v>73.704000000000008</c:v>
                </c:pt>
                <c:pt idx="1">
                  <c:v>94.241</c:v>
                </c:pt>
                <c:pt idx="2">
                  <c:v>83.382000000000005</c:v>
                </c:pt>
                <c:pt idx="3">
                  <c:v>85.146000000000001</c:v>
                </c:pt>
                <c:pt idx="4">
                  <c:v>93.498000000000005</c:v>
                </c:pt>
                <c:pt idx="5">
                  <c:v>100.33800000000001</c:v>
                </c:pt>
                <c:pt idx="6">
                  <c:v>90.144999999999996</c:v>
                </c:pt>
                <c:pt idx="7">
                  <c:v>64.305000000000007</c:v>
                </c:pt>
                <c:pt idx="8">
                  <c:v>85.963999999999999</c:v>
                </c:pt>
                <c:pt idx="9">
                  <c:v>70.06</c:v>
                </c:pt>
                <c:pt idx="10">
                  <c:v>72.16</c:v>
                </c:pt>
                <c:pt idx="11">
                  <c:v>71.832000000000008</c:v>
                </c:pt>
                <c:pt idx="12">
                  <c:v>73.244</c:v>
                </c:pt>
                <c:pt idx="13">
                  <c:v>73.444000000000003</c:v>
                </c:pt>
                <c:pt idx="14">
                  <c:v>61.067999999999998</c:v>
                </c:pt>
                <c:pt idx="15">
                  <c:v>64.349999999999994</c:v>
                </c:pt>
                <c:pt idx="16">
                  <c:v>68.718000000000004</c:v>
                </c:pt>
                <c:pt idx="17">
                  <c:v>72.405000000000001</c:v>
                </c:pt>
                <c:pt idx="18">
                  <c:v>77.289000000000001</c:v>
                </c:pt>
                <c:pt idx="19">
                  <c:v>79.704000000000008</c:v>
                </c:pt>
                <c:pt idx="20">
                  <c:v>76.418999999999997</c:v>
                </c:pt>
                <c:pt idx="21">
                  <c:v>77.322000000000003</c:v>
                </c:pt>
                <c:pt idx="22">
                  <c:v>103.02800000000001</c:v>
                </c:pt>
                <c:pt idx="23">
                  <c:v>105.30800000000001</c:v>
                </c:pt>
                <c:pt idx="24">
                  <c:v>125.9349</c:v>
                </c:pt>
                <c:pt idx="25">
                  <c:v>511.46721729681275</c:v>
                </c:pt>
                <c:pt idx="26">
                  <c:v>892.38383346943851</c:v>
                </c:pt>
                <c:pt idx="27">
                  <c:v>1271.7461634476942</c:v>
                </c:pt>
                <c:pt idx="28">
                  <c:v>1650.8259504448072</c:v>
                </c:pt>
                <c:pt idx="29">
                  <c:v>2028.6694917497657</c:v>
                </c:pt>
                <c:pt idx="30">
                  <c:v>2404.8694409261798</c:v>
                </c:pt>
                <c:pt idx="31">
                  <c:v>2778.9964903657774</c:v>
                </c:pt>
                <c:pt idx="32">
                  <c:v>3151.9424493770553</c:v>
                </c:pt>
                <c:pt idx="33">
                  <c:v>3523.778334954915</c:v>
                </c:pt>
                <c:pt idx="34">
                  <c:v>3894.6261791601728</c:v>
                </c:pt>
                <c:pt idx="35">
                  <c:v>4264.6010261253532</c:v>
                </c:pt>
                <c:pt idx="36">
                  <c:v>4633.8256120761307</c:v>
                </c:pt>
                <c:pt idx="37">
                  <c:v>5002.3781663840473</c:v>
                </c:pt>
                <c:pt idx="38">
                  <c:v>5370.4431166627319</c:v>
                </c:pt>
                <c:pt idx="39">
                  <c:v>5737.9867007462562</c:v>
                </c:pt>
                <c:pt idx="40">
                  <c:v>6105.0221757978961</c:v>
                </c:pt>
                <c:pt idx="41">
                  <c:v>6471.5262401636874</c:v>
                </c:pt>
                <c:pt idx="42">
                  <c:v>6837.5203957025178</c:v>
                </c:pt>
                <c:pt idx="43">
                  <c:v>7202.8399026755296</c:v>
                </c:pt>
                <c:pt idx="44">
                  <c:v>7567.3212920992728</c:v>
                </c:pt>
                <c:pt idx="45">
                  <c:v>7930.843094459663</c:v>
                </c:pt>
                <c:pt idx="46">
                  <c:v>8292.9996184664615</c:v>
                </c:pt>
                <c:pt idx="47">
                  <c:v>8653.3751159361545</c:v>
                </c:pt>
                <c:pt idx="48">
                  <c:v>9011.3897951459676</c:v>
                </c:pt>
                <c:pt idx="49">
                  <c:v>9366.5765352915096</c:v>
                </c:pt>
                <c:pt idx="50">
                  <c:v>9718.5363649696064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AD-4381-9481-5D8A1857F5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29141368"/>
        <c:axId val="70252181"/>
      </c:lineChart>
      <c:catAx>
        <c:axId val="291413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70252181"/>
        <c:crosses val="autoZero"/>
        <c:auto val="1"/>
        <c:lblAlgn val="ctr"/>
        <c:lblOffset val="100"/>
        <c:noMultiLvlLbl val="0"/>
      </c:catAx>
      <c:valAx>
        <c:axId val="70252181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lang="en-US" sz="1000" b="0" strike="noStrike" spc="-1">
                    <a:solidFill>
                      <a:srgbClr val="595959"/>
                    </a:solidFill>
                    <a:latin typeface="Calibri"/>
                  </a:defRPr>
                </a:pPr>
                <a:r>
                  <a:rPr lang="en-US" sz="1000" b="0" strike="noStrike" spc="-1">
                    <a:solidFill>
                      <a:srgbClr val="595959"/>
                    </a:solidFill>
                    <a:latin typeface="Calibri"/>
                  </a:rPr>
                  <a:t>GWh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648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29141368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900" b="0" strike="noStrike" spc="-1">
              <a:solidFill>
                <a:srgbClr val="595959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'Sub sectoral data'!$B$3</c:f>
              <c:strCache>
                <c:ptCount val="1"/>
                <c:pt idx="0">
                  <c:v>Rail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'Sub sectoral data'!$A$4:$A$30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data'!$B$4:$B$30</c:f>
              <c:numCache>
                <c:formatCode>0</c:formatCode>
                <c:ptCount val="27"/>
                <c:pt idx="0">
                  <c:v>26.513427834280904</c:v>
                </c:pt>
                <c:pt idx="1">
                  <c:v>24.049601772052512</c:v>
                </c:pt>
                <c:pt idx="2">
                  <c:v>24.453848102779098</c:v>
                </c:pt>
                <c:pt idx="3">
                  <c:v>24.932859080851927</c:v>
                </c:pt>
                <c:pt idx="4">
                  <c:v>25.764810478352413</c:v>
                </c:pt>
                <c:pt idx="5">
                  <c:v>26.65137759074327</c:v>
                </c:pt>
                <c:pt idx="6">
                  <c:v>27.7855565108412</c:v>
                </c:pt>
                <c:pt idx="7">
                  <c:v>29.229570835002988</c:v>
                </c:pt>
                <c:pt idx="8">
                  <c:v>31.032678110707785</c:v>
                </c:pt>
                <c:pt idx="9">
                  <c:v>33.237447698364349</c:v>
                </c:pt>
                <c:pt idx="10">
                  <c:v>35.867072978813034</c:v>
                </c:pt>
                <c:pt idx="11">
                  <c:v>38.911191505850312</c:v>
                </c:pt>
                <c:pt idx="12">
                  <c:v>42.315055086700696</c:v>
                </c:pt>
                <c:pt idx="13">
                  <c:v>45.983501885548272</c:v>
                </c:pt>
                <c:pt idx="14">
                  <c:v>49.762382920709946</c:v>
                </c:pt>
                <c:pt idx="15">
                  <c:v>53.495378992410167</c:v>
                </c:pt>
                <c:pt idx="16">
                  <c:v>57.035708612222983</c:v>
                </c:pt>
                <c:pt idx="17">
                  <c:v>60.269793738899992</c:v>
                </c:pt>
                <c:pt idx="18">
                  <c:v>63.129685480585522</c:v>
                </c:pt>
                <c:pt idx="19">
                  <c:v>65.59103078201592</c:v>
                </c:pt>
                <c:pt idx="20">
                  <c:v>67.666636228339428</c:v>
                </c:pt>
                <c:pt idx="21">
                  <c:v>69.391856745795224</c:v>
                </c:pt>
                <c:pt idx="22">
                  <c:v>70.815098212633174</c:v>
                </c:pt>
                <c:pt idx="23">
                  <c:v>71.986244187592277</c:v>
                </c:pt>
                <c:pt idx="24">
                  <c:v>72.952385369565192</c:v>
                </c:pt>
                <c:pt idx="25">
                  <c:v>73.75495936678135</c:v>
                </c:pt>
                <c:pt idx="26">
                  <c:v>74.427817622638145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D9-40A9-9AFA-A8D95466537B}"/>
            </c:ext>
          </c:extLst>
        </c:ser>
        <c:ser>
          <c:idx val="1"/>
          <c:order val="1"/>
          <c:tx>
            <c:strRef>
              <c:f>'Sub sectoral data'!$C$3</c:f>
              <c:strCache>
                <c:ptCount val="1"/>
                <c:pt idx="0">
                  <c:v>Road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'Sub sectoral data'!$A$4:$A$30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data'!$C$4:$C$30</c:f>
              <c:numCache>
                <c:formatCode>0</c:formatCode>
                <c:ptCount val="27"/>
                <c:pt idx="0">
                  <c:v>41.056125075407202</c:v>
                </c:pt>
                <c:pt idx="1">
                  <c:v>97.70028396320528</c:v>
                </c:pt>
                <c:pt idx="2">
                  <c:v>119.07360149219259</c:v>
                </c:pt>
                <c:pt idx="3">
                  <c:v>147.23946210443816</c:v>
                </c:pt>
                <c:pt idx="4">
                  <c:v>185.91195690818344</c:v>
                </c:pt>
                <c:pt idx="5">
                  <c:v>235.63277489346163</c:v>
                </c:pt>
                <c:pt idx="6">
                  <c:v>300.39554977424689</c:v>
                </c:pt>
                <c:pt idx="7">
                  <c:v>383.85872353126939</c:v>
                </c:pt>
                <c:pt idx="8">
                  <c:v>489.72850091457593</c:v>
                </c:pt>
                <c:pt idx="9">
                  <c:v>621.41536860956057</c:v>
                </c:pt>
                <c:pt idx="10">
                  <c:v>781.33689486844378</c:v>
                </c:pt>
                <c:pt idx="11">
                  <c:v>970.03466174231107</c:v>
                </c:pt>
                <c:pt idx="12">
                  <c:v>1185.3222832556448</c:v>
                </c:pt>
                <c:pt idx="13">
                  <c:v>1422.0012854891336</c:v>
                </c:pt>
                <c:pt idx="14">
                  <c:v>1671.230222949129</c:v>
                </c:pt>
                <c:pt idx="15">
                  <c:v>1922.6158637023195</c:v>
                </c:pt>
                <c:pt idx="16">
                  <c:v>2165.5440883027004</c:v>
                </c:pt>
                <c:pt idx="17">
                  <c:v>2390.9715636039409</c:v>
                </c:pt>
                <c:pt idx="18">
                  <c:v>2592.6689453600493</c:v>
                </c:pt>
                <c:pt idx="19">
                  <c:v>2767.5340336258978</c:v>
                </c:pt>
                <c:pt idx="20">
                  <c:v>2915.3337024877528</c:v>
                </c:pt>
                <c:pt idx="21">
                  <c:v>3037.8360672358062</c:v>
                </c:pt>
                <c:pt idx="22">
                  <c:v>3138.0478273430926</c:v>
                </c:pt>
                <c:pt idx="23">
                  <c:v>3219.3793572691566</c:v>
                </c:pt>
                <c:pt idx="24">
                  <c:v>3285.2071731555047</c:v>
                </c:pt>
                <c:pt idx="25">
                  <c:v>3338.592098664898</c:v>
                </c:pt>
                <c:pt idx="26">
                  <c:v>3382.1126619570327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D9-40A9-9AFA-A8D95466537B}"/>
            </c:ext>
          </c:extLst>
        </c:ser>
        <c:ser>
          <c:idx val="2"/>
          <c:order val="2"/>
          <c:tx>
            <c:strRef>
              <c:f>'Sub sectoral data'!$D$3</c:f>
              <c:strCache>
                <c:ptCount val="1"/>
                <c:pt idx="0">
                  <c:v>Domestic aviation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'Sub sectoral data'!$A$4:$A$30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data'!$D$4:$D$30</c:f>
              <c:numCache>
                <c:formatCode>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7D9-40A9-9AFA-A8D95466537B}"/>
            </c:ext>
          </c:extLst>
        </c:ser>
        <c:ser>
          <c:idx val="3"/>
          <c:order val="3"/>
          <c:tx>
            <c:strRef>
              <c:f>'Sub sectoral data'!$E$3</c:f>
              <c:strCache>
                <c:ptCount val="1"/>
                <c:pt idx="0">
                  <c:v>Domestic navigation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'Sub sectoral data'!$A$4:$A$30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data'!$E$4:$E$30</c:f>
              <c:numCache>
                <c:formatCode>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7D9-40A9-9AFA-A8D9546653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7387871"/>
        <c:axId val="137389311"/>
      </c:barChart>
      <c:catAx>
        <c:axId val="137387871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389311"/>
        <c:crosses val="autoZero"/>
        <c:auto val="1"/>
        <c:lblAlgn val="ctr"/>
        <c:lblOffset val="100"/>
        <c:noMultiLvlLbl val="0"/>
      </c:catAx>
      <c:valAx>
        <c:axId val="1373893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3878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'Sub sectoral data'!$H$3</c:f>
              <c:strCache>
                <c:ptCount val="1"/>
                <c:pt idx="0">
                  <c:v>Space Heating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'Sub sectoral data'!$G$4:$G$30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data'!$H$4:$H$30</c:f>
              <c:numCache>
                <c:formatCode>0</c:formatCode>
                <c:ptCount val="27"/>
                <c:pt idx="0">
                  <c:v>1156.5383156570033</c:v>
                </c:pt>
                <c:pt idx="1">
                  <c:v>1220.6727855243139</c:v>
                </c:pt>
                <c:pt idx="2">
                  <c:v>1239.1494265500057</c:v>
                </c:pt>
                <c:pt idx="3">
                  <c:v>1261.2746946767934</c:v>
                </c:pt>
                <c:pt idx="4">
                  <c:v>1301.107370452245</c:v>
                </c:pt>
                <c:pt idx="5">
                  <c:v>1343.5904258823066</c:v>
                </c:pt>
                <c:pt idx="6">
                  <c:v>1398.5718145278099</c:v>
                </c:pt>
                <c:pt idx="7">
                  <c:v>1469.38049765808</c:v>
                </c:pt>
                <c:pt idx="8">
                  <c:v>1558.8423916573352</c:v>
                </c:pt>
                <c:pt idx="9">
                  <c:v>1669.643884992757</c:v>
                </c:pt>
                <c:pt idx="10">
                  <c:v>1803.7068354099158</c:v>
                </c:pt>
                <c:pt idx="11">
                  <c:v>1961.4157919842096</c:v>
                </c:pt>
                <c:pt idx="12">
                  <c:v>2140.9055698527595</c:v>
                </c:pt>
                <c:pt idx="13">
                  <c:v>2337.9973110603041</c:v>
                </c:pt>
                <c:pt idx="14">
                  <c:v>2544.9674534294259</c:v>
                </c:pt>
                <c:pt idx="15">
                  <c:v>2753.256033038494</c:v>
                </c:pt>
                <c:pt idx="16">
                  <c:v>2954.1325323345968</c:v>
                </c:pt>
                <c:pt idx="17">
                  <c:v>3140.1923831825984</c:v>
                </c:pt>
                <c:pt idx="18">
                  <c:v>3306.3778151723332</c:v>
                </c:pt>
                <c:pt idx="19">
                  <c:v>3450.1879456252191</c:v>
                </c:pt>
                <c:pt idx="20">
                  <c:v>3571.5029403805311</c:v>
                </c:pt>
                <c:pt idx="21">
                  <c:v>3671.8230696412265</c:v>
                </c:pt>
                <c:pt idx="22">
                  <c:v>3753.6782803811702</c:v>
                </c:pt>
                <c:pt idx="23">
                  <c:v>3819.8960552912449</c:v>
                </c:pt>
                <c:pt idx="24">
                  <c:v>3873.2671560304766</c:v>
                </c:pt>
                <c:pt idx="25">
                  <c:v>3916.3163596773511</c:v>
                </c:pt>
                <c:pt idx="26">
                  <c:v>3951.1527248724783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4F-40CE-9BD7-89B97B9853B0}"/>
            </c:ext>
          </c:extLst>
        </c:ser>
        <c:ser>
          <c:idx val="1"/>
          <c:order val="1"/>
          <c:tx>
            <c:strRef>
              <c:f>'Sub sectoral data'!$I$3</c:f>
              <c:strCache>
                <c:ptCount val="1"/>
                <c:pt idx="0">
                  <c:v>Space cooling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'Sub sectoral data'!$G$4:$G$30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data'!$I$4:$I$30</c:f>
              <c:numCache>
                <c:formatCode>0</c:formatCode>
                <c:ptCount val="27"/>
                <c:pt idx="0">
                  <c:v>8.7197089777322248</c:v>
                </c:pt>
                <c:pt idx="1">
                  <c:v>8.8115298999858638</c:v>
                </c:pt>
                <c:pt idx="2">
                  <c:v>8.8171006099902591</c:v>
                </c:pt>
                <c:pt idx="3">
                  <c:v>8.8073921472293808</c:v>
                </c:pt>
                <c:pt idx="4">
                  <c:v>8.8673896040131801</c:v>
                </c:pt>
                <c:pt idx="5">
                  <c:v>8.8773715112742515</c:v>
                </c:pt>
                <c:pt idx="6">
                  <c:v>8.8881125125364537</c:v>
                </c:pt>
                <c:pt idx="7">
                  <c:v>8.902235836497276</c:v>
                </c:pt>
                <c:pt idx="8">
                  <c:v>8.9182858490120562</c:v>
                </c:pt>
                <c:pt idx="9">
                  <c:v>8.9357429887829962</c:v>
                </c:pt>
                <c:pt idx="10">
                  <c:v>8.9546374889999054</c:v>
                </c:pt>
                <c:pt idx="11">
                  <c:v>8.9751734822843332</c:v>
                </c:pt>
                <c:pt idx="12">
                  <c:v>8.9975783816640966</c:v>
                </c:pt>
                <c:pt idx="13">
                  <c:v>9.0233078358317815</c:v>
                </c:pt>
                <c:pt idx="14">
                  <c:v>9.0494154711344308</c:v>
                </c:pt>
                <c:pt idx="15">
                  <c:v>9.0760612520426704</c:v>
                </c:pt>
                <c:pt idx="16">
                  <c:v>9.103148873643951</c:v>
                </c:pt>
                <c:pt idx="17">
                  <c:v>9.1305325452303236</c:v>
                </c:pt>
                <c:pt idx="18">
                  <c:v>9.1581052708551614</c:v>
                </c:pt>
                <c:pt idx="19">
                  <c:v>9.1855583465627006</c:v>
                </c:pt>
                <c:pt idx="20">
                  <c:v>9.212778800067607</c:v>
                </c:pt>
                <c:pt idx="21">
                  <c:v>9.239554530499845</c:v>
                </c:pt>
                <c:pt idx="22">
                  <c:v>9.2658933490203079</c:v>
                </c:pt>
                <c:pt idx="23">
                  <c:v>9.2916630957797821</c:v>
                </c:pt>
                <c:pt idx="24">
                  <c:v>9.3167717275745208</c:v>
                </c:pt>
                <c:pt idx="25">
                  <c:v>9.3411610891783408</c:v>
                </c:pt>
                <c:pt idx="26">
                  <c:v>9.3646799417306976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4F-40CE-9BD7-89B97B9853B0}"/>
            </c:ext>
          </c:extLst>
        </c:ser>
        <c:ser>
          <c:idx val="2"/>
          <c:order val="2"/>
          <c:tx>
            <c:strRef>
              <c:f>'Sub sectoral data'!$J$3</c:f>
              <c:strCache>
                <c:ptCount val="1"/>
                <c:pt idx="0">
                  <c:v>Water heating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'Sub sectoral data'!$G$4:$G$30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data'!$J$4:$J$30</c:f>
              <c:numCache>
                <c:formatCode>0</c:formatCode>
                <c:ptCount val="27"/>
                <c:pt idx="0">
                  <c:v>371.95511078722495</c:v>
                </c:pt>
                <c:pt idx="1">
                  <c:v>382.81140477554311</c:v>
                </c:pt>
                <c:pt idx="2">
                  <c:v>385.41818833277677</c:v>
                </c:pt>
                <c:pt idx="3">
                  <c:v>388.13121928174809</c:v>
                </c:pt>
                <c:pt idx="4">
                  <c:v>394.94791044825195</c:v>
                </c:pt>
                <c:pt idx="5">
                  <c:v>400.87114486991618</c:v>
                </c:pt>
                <c:pt idx="6">
                  <c:v>408.48265869339969</c:v>
                </c:pt>
                <c:pt idx="7">
                  <c:v>418.29251331788151</c:v>
                </c:pt>
                <c:pt idx="8">
                  <c:v>430.64184827283913</c:v>
                </c:pt>
                <c:pt idx="9">
                  <c:v>445.87651390226131</c:v>
                </c:pt>
                <c:pt idx="10">
                  <c:v>464.25395822088007</c:v>
                </c:pt>
                <c:pt idx="11">
                  <c:v>485.83063507802956</c:v>
                </c:pt>
                <c:pt idx="12">
                  <c:v>510.36309205145045</c:v>
                </c:pt>
                <c:pt idx="13">
                  <c:v>537.3294836099592</c:v>
                </c:pt>
                <c:pt idx="14">
                  <c:v>565.62472145708773</c:v>
                </c:pt>
                <c:pt idx="15">
                  <c:v>594.10947916578129</c:v>
                </c:pt>
                <c:pt idx="16">
                  <c:v>621.61525851355168</c:v>
                </c:pt>
                <c:pt idx="17">
                  <c:v>647.14942817774238</c:v>
                </c:pt>
                <c:pt idx="18">
                  <c:v>670.03377572334341</c:v>
                </c:pt>
                <c:pt idx="19">
                  <c:v>689.92656991949241</c:v>
                </c:pt>
                <c:pt idx="20">
                  <c:v>706.8089873693151</c:v>
                </c:pt>
                <c:pt idx="21">
                  <c:v>720.87612237947587</c:v>
                </c:pt>
                <c:pt idx="22">
                  <c:v>732.46608349169026</c:v>
                </c:pt>
                <c:pt idx="23">
                  <c:v>741.95322869667496</c:v>
                </c:pt>
                <c:pt idx="24">
                  <c:v>749.70801188482017</c:v>
                </c:pt>
                <c:pt idx="25">
                  <c:v>756.06620578620334</c:v>
                </c:pt>
                <c:pt idx="26">
                  <c:v>761.3057358424187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4F-40CE-9BD7-89B97B9853B0}"/>
            </c:ext>
          </c:extLst>
        </c:ser>
        <c:ser>
          <c:idx val="3"/>
          <c:order val="3"/>
          <c:tx>
            <c:strRef>
              <c:f>'Sub sectoral data'!$K$3</c:f>
              <c:strCache>
                <c:ptCount val="1"/>
                <c:pt idx="0">
                  <c:v>Cooking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'Sub sectoral data'!$G$4:$G$30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data'!$K$4:$K$30</c:f>
              <c:numCache>
                <c:formatCode>0</c:formatCode>
                <c:ptCount val="27"/>
                <c:pt idx="0">
                  <c:v>293.19523917231982</c:v>
                </c:pt>
                <c:pt idx="1">
                  <c:v>301.40499225222669</c:v>
                </c:pt>
                <c:pt idx="2">
                  <c:v>303.34107237069338</c:v>
                </c:pt>
                <c:pt idx="3">
                  <c:v>305.32291544203588</c:v>
                </c:pt>
                <c:pt idx="4">
                  <c:v>310.48284612096228</c:v>
                </c:pt>
                <c:pt idx="5">
                  <c:v>314.87636156273919</c:v>
                </c:pt>
                <c:pt idx="6">
                  <c:v>320.51768649296622</c:v>
                </c:pt>
                <c:pt idx="7">
                  <c:v>327.78892540873966</c:v>
                </c:pt>
                <c:pt idx="8">
                  <c:v>336.93877535340073</c:v>
                </c:pt>
                <c:pt idx="9">
                  <c:v>348.22141166801691</c:v>
                </c:pt>
                <c:pt idx="10">
                  <c:v>361.82693169129766</c:v>
                </c:pt>
                <c:pt idx="11">
                  <c:v>377.79744265170172</c:v>
                </c:pt>
                <c:pt idx="12">
                  <c:v>395.9537286929073</c:v>
                </c:pt>
                <c:pt idx="13">
                  <c:v>415.91370645268375</c:v>
                </c:pt>
                <c:pt idx="14">
                  <c:v>436.8553674162215</c:v>
                </c:pt>
                <c:pt idx="15">
                  <c:v>457.93807099501663</c:v>
                </c:pt>
                <c:pt idx="16">
                  <c:v>478.29909589716351</c:v>
                </c:pt>
                <c:pt idx="17">
                  <c:v>497.20542945899842</c:v>
                </c:pt>
                <c:pt idx="18">
                  <c:v>514.1562271447973</c:v>
                </c:pt>
                <c:pt idx="19">
                  <c:v>528.89858350148165</c:v>
                </c:pt>
                <c:pt idx="20">
                  <c:v>541.41836272210605</c:v>
                </c:pt>
                <c:pt idx="21">
                  <c:v>551.85911833071134</c:v>
                </c:pt>
                <c:pt idx="22">
                  <c:v>560.47043850526836</c:v>
                </c:pt>
                <c:pt idx="23">
                  <c:v>567.52836937836207</c:v>
                </c:pt>
                <c:pt idx="24">
                  <c:v>573.30616106742514</c:v>
                </c:pt>
                <c:pt idx="25">
                  <c:v>578.05153657683854</c:v>
                </c:pt>
                <c:pt idx="26">
                  <c:v>581.96932052021657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0B-445E-8511-2B0A797D21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64528095"/>
        <c:axId val="1764520895"/>
      </c:barChart>
      <c:catAx>
        <c:axId val="1764528095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4520895"/>
        <c:crosses val="autoZero"/>
        <c:auto val="1"/>
        <c:lblAlgn val="ctr"/>
        <c:lblOffset val="100"/>
        <c:noMultiLvlLbl val="0"/>
      </c:catAx>
      <c:valAx>
        <c:axId val="1764520895"/>
        <c:scaling>
          <c:orientation val="minMax"/>
          <c:max val="6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45280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6743219597550293E-3"/>
          <c:y val="0.85127150772820059"/>
          <c:w val="0.94220691163604553"/>
          <c:h val="0.1209507144940215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5159872477609801E-2"/>
          <c:y val="0.12996935652003083"/>
          <c:w val="0.89985432400166332"/>
          <c:h val="0.4072042804852408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'Sub sectoral data'!$O$3</c:f>
              <c:strCache>
                <c:ptCount val="1"/>
                <c:pt idx="0">
                  <c:v>Iron &amp; steel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'Sub sectoral data'!$N$4:$N$30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data'!$O$4:$O$30</c:f>
              <c:numCache>
                <c:formatCode>0</c:formatCode>
                <c:ptCount val="27"/>
                <c:pt idx="0">
                  <c:v>2.0492773811596727</c:v>
                </c:pt>
                <c:pt idx="1">
                  <c:v>2.0777782464930428</c:v>
                </c:pt>
                <c:pt idx="2">
                  <c:v>2.0758769625628894</c:v>
                </c:pt>
                <c:pt idx="3">
                  <c:v>2.072066644804996</c:v>
                </c:pt>
                <c:pt idx="4">
                  <c:v>2.0868326838224291</c:v>
                </c:pt>
                <c:pt idx="5">
                  <c:v>2.0926155884279325</c:v>
                </c:pt>
                <c:pt idx="6">
                  <c:v>2.1020678819981815</c:v>
                </c:pt>
                <c:pt idx="7">
                  <c:v>2.1166003157505333</c:v>
                </c:pt>
                <c:pt idx="8">
                  <c:v>2.1366832926329127</c:v>
                </c:pt>
                <c:pt idx="9">
                  <c:v>2.1629160822861544</c:v>
                </c:pt>
                <c:pt idx="10">
                  <c:v>2.1957741130146435</c:v>
                </c:pt>
                <c:pt idx="11">
                  <c:v>2.2353225345364174</c:v>
                </c:pt>
                <c:pt idx="12">
                  <c:v>2.2809957688265601</c:v>
                </c:pt>
                <c:pt idx="13">
                  <c:v>2.3318161625720277</c:v>
                </c:pt>
                <c:pt idx="14">
                  <c:v>2.3850169232601699</c:v>
                </c:pt>
                <c:pt idx="15">
                  <c:v>2.4382152696016188</c:v>
                </c:pt>
                <c:pt idx="16">
                  <c:v>2.488972429254297</c:v>
                </c:pt>
                <c:pt idx="17">
                  <c:v>2.5352458127506128</c:v>
                </c:pt>
                <c:pt idx="18">
                  <c:v>2.5756779692163532</c:v>
                </c:pt>
                <c:pt idx="19">
                  <c:v>2.6095969590343469</c:v>
                </c:pt>
                <c:pt idx="20">
                  <c:v>2.6370265654384042</c:v>
                </c:pt>
                <c:pt idx="21">
                  <c:v>2.6584127589966733</c:v>
                </c:pt>
                <c:pt idx="22">
                  <c:v>2.6745126885566015</c:v>
                </c:pt>
                <c:pt idx="23">
                  <c:v>2.6861269869183673</c:v>
                </c:pt>
                <c:pt idx="24">
                  <c:v>2.6940411320567259</c:v>
                </c:pt>
                <c:pt idx="25">
                  <c:v>2.6989632912372112</c:v>
                </c:pt>
                <c:pt idx="26">
                  <c:v>2.7014635508923908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C6-4F30-86EA-0080CA97F209}"/>
            </c:ext>
          </c:extLst>
        </c:ser>
        <c:ser>
          <c:idx val="1"/>
          <c:order val="1"/>
          <c:tx>
            <c:strRef>
              <c:f>'Sub sectoral data'!$P$3</c:f>
              <c:strCache>
                <c:ptCount val="1"/>
                <c:pt idx="0">
                  <c:v>Chemical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'Sub sectoral data'!$N$4:$N$30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data'!$P$4:$P$30</c:f>
              <c:numCache>
                <c:formatCode>0</c:formatCode>
                <c:ptCount val="27"/>
                <c:pt idx="0">
                  <c:v>72.40780080097511</c:v>
                </c:pt>
                <c:pt idx="1">
                  <c:v>73.58980042835104</c:v>
                </c:pt>
                <c:pt idx="2">
                  <c:v>73.581407502226298</c:v>
                </c:pt>
                <c:pt idx="3">
                  <c:v>73.524041679276081</c:v>
                </c:pt>
                <c:pt idx="4">
                  <c:v>74.15056463110065</c:v>
                </c:pt>
                <c:pt idx="5">
                  <c:v>74.489594502937223</c:v>
                </c:pt>
                <c:pt idx="6">
                  <c:v>74.998094002673398</c:v>
                </c:pt>
                <c:pt idx="7">
                  <c:v>75.735218116369936</c:v>
                </c:pt>
                <c:pt idx="8">
                  <c:v>76.726865967821368</c:v>
                </c:pt>
                <c:pt idx="9">
                  <c:v>78.002475388345118</c:v>
                </c:pt>
                <c:pt idx="10">
                  <c:v>79.584249784942244</c:v>
                </c:pt>
                <c:pt idx="11">
                  <c:v>81.474755859261151</c:v>
                </c:pt>
                <c:pt idx="12">
                  <c:v>83.647007087823255</c:v>
                </c:pt>
                <c:pt idx="13">
                  <c:v>86.051618470581815</c:v>
                </c:pt>
                <c:pt idx="14">
                  <c:v>88.566762651415132</c:v>
                </c:pt>
                <c:pt idx="15">
                  <c:v>91.080592356876735</c:v>
                </c:pt>
                <c:pt idx="16">
                  <c:v>93.47929364980493</c:v>
                </c:pt>
                <c:pt idx="17">
                  <c:v>95.667703849945127</c:v>
                </c:pt>
                <c:pt idx="18">
                  <c:v>97.582604036854349</c:v>
                </c:pt>
                <c:pt idx="19">
                  <c:v>99.193337254137475</c:v>
                </c:pt>
                <c:pt idx="20">
                  <c:v>100.50129058063183</c:v>
                </c:pt>
                <c:pt idx="21">
                  <c:v>101.52783884225197</c:v>
                </c:pt>
                <c:pt idx="22">
                  <c:v>102.30836267431712</c:v>
                </c:pt>
                <c:pt idx="23">
                  <c:v>102.88061993441994</c:v>
                </c:pt>
                <c:pt idx="24">
                  <c:v>103.28155663695145</c:v>
                </c:pt>
                <c:pt idx="25">
                  <c:v>103.54441683176117</c:v>
                </c:pt>
                <c:pt idx="26">
                  <c:v>103.69620910465156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BC6-4F30-86EA-0080CA97F209}"/>
            </c:ext>
          </c:extLst>
        </c:ser>
        <c:ser>
          <c:idx val="2"/>
          <c:order val="2"/>
          <c:tx>
            <c:strRef>
              <c:f>'Sub sectoral data'!$Q$3</c:f>
              <c:strCache>
                <c:ptCount val="1"/>
                <c:pt idx="0">
                  <c:v>Non-ferrous metals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'Sub sectoral data'!$N$4:$N$30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data'!$Q$4:$Q$30</c:f>
              <c:numCache>
                <c:formatCode>0</c:formatCode>
                <c:ptCount val="27"/>
                <c:pt idx="0">
                  <c:v>2.0492773811596727</c:v>
                </c:pt>
                <c:pt idx="1">
                  <c:v>2.0932981518315561</c:v>
                </c:pt>
                <c:pt idx="2">
                  <c:v>2.0966112164755311</c:v>
                </c:pt>
                <c:pt idx="3">
                  <c:v>2.0996544065134262</c:v>
                </c:pt>
                <c:pt idx="4">
                  <c:v>2.1237153707511887</c:v>
                </c:pt>
                <c:pt idx="5">
                  <c:v>2.1414463322160824</c:v>
                </c:pt>
                <c:pt idx="6">
                  <c:v>2.1663785632262784</c:v>
                </c:pt>
                <c:pt idx="7">
                  <c:v>2.2007484818989447</c:v>
                </c:pt>
                <c:pt idx="8">
                  <c:v>2.2458494772391124</c:v>
                </c:pt>
                <c:pt idx="9">
                  <c:v>2.3030138106231792</c:v>
                </c:pt>
                <c:pt idx="10">
                  <c:v>2.3731963332014252</c:v>
                </c:pt>
                <c:pt idx="11">
                  <c:v>2.4564856777960302</c:v>
                </c:pt>
                <c:pt idx="12">
                  <c:v>2.5516951149652685</c:v>
                </c:pt>
                <c:pt idx="13">
                  <c:v>2.65653055979443</c:v>
                </c:pt>
                <c:pt idx="14">
                  <c:v>2.7660904247821443</c:v>
                </c:pt>
                <c:pt idx="15">
                  <c:v>2.8755388471246008</c:v>
                </c:pt>
                <c:pt idx="16">
                  <c:v>2.9799850095957106</c:v>
                </c:pt>
                <c:pt idx="17">
                  <c:v>3.0753469847902219</c:v>
                </c:pt>
                <c:pt idx="18">
                  <c:v>3.1589141320134377</c:v>
                </c:pt>
                <c:pt idx="19">
                  <c:v>3.2294011372279421</c:v>
                </c:pt>
                <c:pt idx="20">
                  <c:v>3.2868802797900787</c:v>
                </c:pt>
                <c:pt idx="21">
                  <c:v>3.3322957806631925</c:v>
                </c:pt>
                <c:pt idx="22">
                  <c:v>3.3671701034996904</c:v>
                </c:pt>
                <c:pt idx="23">
                  <c:v>3.3931437746363158</c:v>
                </c:pt>
                <c:pt idx="24">
                  <c:v>3.4118176510880249</c:v>
                </c:pt>
                <c:pt idx="25">
                  <c:v>3.4246292109883925</c:v>
                </c:pt>
                <c:pt idx="26">
                  <c:v>3.4327575193468181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BC6-4F30-86EA-0080CA97F209}"/>
            </c:ext>
          </c:extLst>
        </c:ser>
        <c:ser>
          <c:idx val="3"/>
          <c:order val="3"/>
          <c:tx>
            <c:strRef>
              <c:f>'Sub sectoral data'!$R$3</c:f>
              <c:strCache>
                <c:ptCount val="1"/>
                <c:pt idx="0">
                  <c:v>Other non-metallic mineral products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'Sub sectoral data'!$N$4:$N$30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data'!$R$4:$R$30</c:f>
              <c:numCache>
                <c:formatCode>0</c:formatCode>
                <c:ptCount val="27"/>
                <c:pt idx="0">
                  <c:v>91.702742499539852</c:v>
                </c:pt>
                <c:pt idx="1">
                  <c:v>93.459978022898412</c:v>
                </c:pt>
                <c:pt idx="2">
                  <c:v>93.536790702989862</c:v>
                </c:pt>
                <c:pt idx="3">
                  <c:v>93.579068296610686</c:v>
                </c:pt>
                <c:pt idx="4">
                  <c:v>94.528416012466309</c:v>
                </c:pt>
                <c:pt idx="5">
                  <c:v>95.158152382617658</c:v>
                </c:pt>
                <c:pt idx="6">
                  <c:v>96.061745910548979</c:v>
                </c:pt>
                <c:pt idx="7">
                  <c:v>97.327961003963068</c:v>
                </c:pt>
                <c:pt idx="8">
                  <c:v>99.00339936243661</c:v>
                </c:pt>
                <c:pt idx="9">
                  <c:v>101.13763521220042</c:v>
                </c:pt>
                <c:pt idx="10">
                  <c:v>103.76682832623855</c:v>
                </c:pt>
                <c:pt idx="11">
                  <c:v>106.89462317097912</c:v>
                </c:pt>
                <c:pt idx="12">
                  <c:v>110.47642555115415</c:v>
                </c:pt>
                <c:pt idx="13">
                  <c:v>114.42761462374796</c:v>
                </c:pt>
                <c:pt idx="14">
                  <c:v>118.55809947910976</c:v>
                </c:pt>
                <c:pt idx="15">
                  <c:v>122.68509123078042</c:v>
                </c:pt>
                <c:pt idx="16">
                  <c:v>126.62332764368408</c:v>
                </c:pt>
                <c:pt idx="17">
                  <c:v>130.21808874928553</c:v>
                </c:pt>
                <c:pt idx="18">
                  <c:v>133.36661695862762</c:v>
                </c:pt>
                <c:pt idx="19">
                  <c:v>136.01979997771002</c:v>
                </c:pt>
                <c:pt idx="20">
                  <c:v>138.18020776526978</c:v>
                </c:pt>
                <c:pt idx="21">
                  <c:v>139.88326644517792</c:v>
                </c:pt>
                <c:pt idx="22">
                  <c:v>141.18661870469307</c:v>
                </c:pt>
                <c:pt idx="23">
                  <c:v>142.15216857553648</c:v>
                </c:pt>
                <c:pt idx="24">
                  <c:v>142.84038081316945</c:v>
                </c:pt>
                <c:pt idx="25">
                  <c:v>143.30558840189516</c:v>
                </c:pt>
                <c:pt idx="26">
                  <c:v>143.59220934570899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BC6-4F30-86EA-0080CA97F209}"/>
            </c:ext>
          </c:extLst>
        </c:ser>
        <c:ser>
          <c:idx val="4"/>
          <c:order val="4"/>
          <c:tx>
            <c:strRef>
              <c:f>'Sub sectoral data'!$S$3</c:f>
              <c:strCache>
                <c:ptCount val="1"/>
                <c:pt idx="0">
                  <c:v>Transport equipment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'Sub sectoral data'!$N$4:$N$30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data'!$S$4:$S$30</c:f>
              <c:numCache>
                <c:formatCode>0</c:formatCode>
                <c:ptCount val="27"/>
                <c:pt idx="0">
                  <c:v>28.882753543162153</c:v>
                </c:pt>
                <c:pt idx="1">
                  <c:v>29.357655941471613</c:v>
                </c:pt>
                <c:pt idx="2">
                  <c:v>29.3554552740028</c:v>
                </c:pt>
                <c:pt idx="3">
                  <c:v>29.334080428461114</c:v>
                </c:pt>
                <c:pt idx="4">
                  <c:v>29.58603915810907</c:v>
                </c:pt>
                <c:pt idx="5">
                  <c:v>29.723903454374213</c:v>
                </c:pt>
                <c:pt idx="6">
                  <c:v>29.930144538887276</c:v>
                </c:pt>
                <c:pt idx="7">
                  <c:v>30.228540400442682</c:v>
                </c:pt>
                <c:pt idx="8">
                  <c:v>30.629603004432862</c:v>
                </c:pt>
                <c:pt idx="9">
                  <c:v>31.145236072298736</c:v>
                </c:pt>
                <c:pt idx="10">
                  <c:v>31.78440179872306</c:v>
                </c:pt>
                <c:pt idx="11">
                  <c:v>32.548129181956611</c:v>
                </c:pt>
                <c:pt idx="12">
                  <c:v>33.425516908472837</c:v>
                </c:pt>
                <c:pt idx="13">
                  <c:v>34.3965761688561</c:v>
                </c:pt>
                <c:pt idx="14">
                  <c:v>35.412241571608071</c:v>
                </c:pt>
                <c:pt idx="15">
                  <c:v>36.427358656301962</c:v>
                </c:pt>
                <c:pt idx="16">
                  <c:v>37.395988707926676</c:v>
                </c:pt>
                <c:pt idx="17">
                  <c:v>38.279723610822089</c:v>
                </c:pt>
                <c:pt idx="18">
                  <c:v>39.053048254916519</c:v>
                </c:pt>
                <c:pt idx="19">
                  <c:v>39.703598938384403</c:v>
                </c:pt>
                <c:pt idx="20">
                  <c:v>40.231939622649499</c:v>
                </c:pt>
                <c:pt idx="21">
                  <c:v>40.646706131789884</c:v>
                </c:pt>
                <c:pt idx="22">
                  <c:v>40.962179824083805</c:v>
                </c:pt>
                <c:pt idx="23">
                  <c:v>41.193606715957166</c:v>
                </c:pt>
                <c:pt idx="24">
                  <c:v>41.355903594301083</c:v>
                </c:pt>
                <c:pt idx="25">
                  <c:v>41.462491633563275</c:v>
                </c:pt>
                <c:pt idx="26">
                  <c:v>41.524278269615685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BC6-4F30-86EA-0080CA97F209}"/>
            </c:ext>
          </c:extLst>
        </c:ser>
        <c:ser>
          <c:idx val="5"/>
          <c:order val="5"/>
          <c:tx>
            <c:strRef>
              <c:f>'Sub sectoral data'!$T$3</c:f>
              <c:strCache>
                <c:ptCount val="1"/>
                <c:pt idx="0">
                  <c:v>Machinery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'Sub sectoral data'!$N$4:$N$30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data'!$T$4:$T$30</c:f>
              <c:numCache>
                <c:formatCode>0</c:formatCode>
                <c:ptCount val="27"/>
                <c:pt idx="0">
                  <c:v>166.7979017117614</c:v>
                </c:pt>
                <c:pt idx="1">
                  <c:v>168.80141925451781</c:v>
                </c:pt>
                <c:pt idx="2">
                  <c:v>168.54040785294967</c:v>
                </c:pt>
                <c:pt idx="3">
                  <c:v>168.09061029845705</c:v>
                </c:pt>
                <c:pt idx="4">
                  <c:v>169.10305605858127</c:v>
                </c:pt>
                <c:pt idx="5">
                  <c:v>169.33026674505723</c:v>
                </c:pt>
                <c:pt idx="6">
                  <c:v>169.78416843569727</c:v>
                </c:pt>
                <c:pt idx="7">
                  <c:v>170.56276150733549</c:v>
                </c:pt>
                <c:pt idx="8">
                  <c:v>171.68756271095612</c:v>
                </c:pt>
                <c:pt idx="9">
                  <c:v>173.19241163664304</c:v>
                </c:pt>
                <c:pt idx="10">
                  <c:v>175.10623527785717</c:v>
                </c:pt>
                <c:pt idx="11">
                  <c:v>177.43385785538891</c:v>
                </c:pt>
                <c:pt idx="12">
                  <c:v>180.14190295037889</c:v>
                </c:pt>
                <c:pt idx="13">
                  <c:v>183.17762246662556</c:v>
                </c:pt>
                <c:pt idx="14">
                  <c:v>186.3593207682039</c:v>
                </c:pt>
                <c:pt idx="15">
                  <c:v>189.54304436162835</c:v>
                </c:pt>
                <c:pt idx="16">
                  <c:v>192.58026131978852</c:v>
                </c:pt>
                <c:pt idx="17">
                  <c:v>195.34627619658332</c:v>
                </c:pt>
                <c:pt idx="18">
                  <c:v>197.75817690254368</c:v>
                </c:pt>
                <c:pt idx="19">
                  <c:v>199.77377139286477</c:v>
                </c:pt>
                <c:pt idx="20">
                  <c:v>201.39400720342547</c:v>
                </c:pt>
                <c:pt idx="21">
                  <c:v>202.64502998663301</c:v>
                </c:pt>
                <c:pt idx="22">
                  <c:v>203.57287099007644</c:v>
                </c:pt>
                <c:pt idx="23">
                  <c:v>204.22558099063048</c:v>
                </c:pt>
                <c:pt idx="24">
                  <c:v>204.65047682267584</c:v>
                </c:pt>
                <c:pt idx="25">
                  <c:v>204.8903366469815</c:v>
                </c:pt>
                <c:pt idx="26">
                  <c:v>204.97915189854407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BC6-4F30-86EA-0080CA97F209}"/>
            </c:ext>
          </c:extLst>
        </c:ser>
        <c:ser>
          <c:idx val="6"/>
          <c:order val="6"/>
          <c:tx>
            <c:strRef>
              <c:f>'Sub sectoral data'!$U$3</c:f>
              <c:strCache>
                <c:ptCount val="1"/>
                <c:pt idx="0">
                  <c:v>Mining &amp; quarrying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'Sub sectoral data'!$N$4:$N$30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data'!$U$4:$U$30</c:f>
              <c:numCache>
                <c:formatCode>0</c:formatCode>
                <c:ptCount val="27"/>
                <c:pt idx="0">
                  <c:v>14.441376771581083</c:v>
                </c:pt>
                <c:pt idx="1">
                  <c:v>14.594783467969261</c:v>
                </c:pt>
                <c:pt idx="2">
                  <c:v>14.56544602043774</c:v>
                </c:pt>
                <c:pt idx="3">
                  <c:v>14.517644991472766</c:v>
                </c:pt>
                <c:pt idx="4">
                  <c:v>14.593289811635811</c:v>
                </c:pt>
                <c:pt idx="5">
                  <c:v>14.597519986665361</c:v>
                </c:pt>
                <c:pt idx="6">
                  <c:v>14.616812463181756</c:v>
                </c:pt>
                <c:pt idx="7">
                  <c:v>14.6585850250605</c:v>
                </c:pt>
                <c:pt idx="8">
                  <c:v>14.723636961967493</c:v>
                </c:pt>
                <c:pt idx="9">
                  <c:v>14.813950785287375</c:v>
                </c:pt>
                <c:pt idx="10">
                  <c:v>14.931411387435064</c:v>
                </c:pt>
                <c:pt idx="11">
                  <c:v>15.076406100148775</c:v>
                </c:pt>
                <c:pt idx="12">
                  <c:v>15.246847970298058</c:v>
                </c:pt>
                <c:pt idx="13">
                  <c:v>15.439871427853873</c:v>
                </c:pt>
                <c:pt idx="14">
                  <c:v>15.64250427176221</c:v>
                </c:pt>
                <c:pt idx="15">
                  <c:v>15.84545337449139</c:v>
                </c:pt>
                <c:pt idx="16">
                  <c:v>16.039027867582238</c:v>
                </c:pt>
                <c:pt idx="17">
                  <c:v>16.21506726204127</c:v>
                </c:pt>
                <c:pt idx="18">
                  <c:v>16.368141893250232</c:v>
                </c:pt>
                <c:pt idx="19">
                  <c:v>16.495391499380446</c:v>
                </c:pt>
                <c:pt idx="20">
                  <c:v>16.596835441468276</c:v>
                </c:pt>
                <c:pt idx="21">
                  <c:v>16.674093470333052</c:v>
                </c:pt>
                <c:pt idx="22">
                  <c:v>16.730161877578045</c:v>
                </c:pt>
                <c:pt idx="23">
                  <c:v>16.768115419792384</c:v>
                </c:pt>
                <c:pt idx="24">
                  <c:v>16.790996991454001</c:v>
                </c:pt>
                <c:pt idx="25">
                  <c:v>16.801567763348324</c:v>
                </c:pt>
                <c:pt idx="26">
                  <c:v>16.801983669013232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BC6-4F30-86EA-0080CA97F209}"/>
            </c:ext>
          </c:extLst>
        </c:ser>
        <c:ser>
          <c:idx val="7"/>
          <c:order val="7"/>
          <c:tx>
            <c:strRef>
              <c:f>'Sub sectoral data'!$V$3</c:f>
              <c:strCache>
                <c:ptCount val="1"/>
                <c:pt idx="0">
                  <c:v>Food, beverages &amp; tobacco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'Sub sectoral data'!$N$4:$N$30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data'!$V$4:$V$30</c:f>
              <c:numCache>
                <c:formatCode>0</c:formatCode>
                <c:ptCount val="27"/>
                <c:pt idx="0">
                  <c:v>209.70938533867312</c:v>
                </c:pt>
                <c:pt idx="1">
                  <c:v>212.67074458120172</c:v>
                </c:pt>
                <c:pt idx="2">
                  <c:v>212.49122183117319</c:v>
                </c:pt>
                <c:pt idx="3">
                  <c:v>212.12106981298177</c:v>
                </c:pt>
                <c:pt idx="4">
                  <c:v>213.65894112757948</c:v>
                </c:pt>
                <c:pt idx="5">
                  <c:v>214.28519191451605</c:v>
                </c:pt>
                <c:pt idx="6">
                  <c:v>215.29713201680875</c:v>
                </c:pt>
                <c:pt idx="7">
                  <c:v>216.84151013263883</c:v>
                </c:pt>
                <c:pt idx="8">
                  <c:v>218.96883825378265</c:v>
                </c:pt>
                <c:pt idx="9">
                  <c:v>221.74255612120803</c:v>
                </c:pt>
                <c:pt idx="10">
                  <c:v>225.21269890209521</c:v>
                </c:pt>
                <c:pt idx="11">
                  <c:v>229.38600132660139</c:v>
                </c:pt>
                <c:pt idx="12">
                  <c:v>234.20279405790902</c:v>
                </c:pt>
                <c:pt idx="13">
                  <c:v>239.55923302785573</c:v>
                </c:pt>
                <c:pt idx="14">
                  <c:v>245.16602483522098</c:v>
                </c:pt>
                <c:pt idx="15">
                  <c:v>250.77225505756391</c:v>
                </c:pt>
                <c:pt idx="16">
                  <c:v>256.12128251177859</c:v>
                </c:pt>
                <c:pt idx="17">
                  <c:v>260.99819927578909</c:v>
                </c:pt>
                <c:pt idx="18">
                  <c:v>265.2601892935798</c:v>
                </c:pt>
                <c:pt idx="19">
                  <c:v>268.83672132657119</c:v>
                </c:pt>
                <c:pt idx="20">
                  <c:v>271.730369090431</c:v>
                </c:pt>
                <c:pt idx="21">
                  <c:v>273.98820755633778</c:v>
                </c:pt>
                <c:pt idx="22">
                  <c:v>275.68992601396729</c:v>
                </c:pt>
                <c:pt idx="23">
                  <c:v>276.91987875010568</c:v>
                </c:pt>
                <c:pt idx="24">
                  <c:v>277.76079849010841</c:v>
                </c:pt>
                <c:pt idx="25">
                  <c:v>278.28725821357256</c:v>
                </c:pt>
                <c:pt idx="26">
                  <c:v>278.55935350237843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BC6-4F30-86EA-0080CA97F209}"/>
            </c:ext>
          </c:extLst>
        </c:ser>
        <c:ser>
          <c:idx val="8"/>
          <c:order val="8"/>
          <c:tx>
            <c:strRef>
              <c:f>'Sub sectoral data'!$W$3</c:f>
              <c:strCache>
                <c:ptCount val="1"/>
                <c:pt idx="0">
                  <c:v>Pulp, paper &amp; printing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'Sub sectoral data'!$N$4:$N$30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data'!$W$4:$W$30</c:f>
              <c:numCache>
                <c:formatCode>0</c:formatCode>
                <c:ptCount val="27"/>
                <c:pt idx="0">
                  <c:v>192.63207382900924</c:v>
                </c:pt>
                <c:pt idx="1">
                  <c:v>196.92745592352296</c:v>
                </c:pt>
                <c:pt idx="2">
                  <c:v>197.29177691790451</c:v>
                </c:pt>
                <c:pt idx="3">
                  <c:v>197.64735687964557</c:v>
                </c:pt>
                <c:pt idx="4">
                  <c:v>200.00337268307237</c:v>
                </c:pt>
                <c:pt idx="5">
                  <c:v>201.79128086351255</c:v>
                </c:pt>
                <c:pt idx="6">
                  <c:v>204.29193480645688</c:v>
                </c:pt>
                <c:pt idx="7">
                  <c:v>207.72393315286979</c:v>
                </c:pt>
                <c:pt idx="8">
                  <c:v>212.21720261344399</c:v>
                </c:pt>
                <c:pt idx="9">
                  <c:v>217.90441102413382</c:v>
                </c:pt>
                <c:pt idx="10">
                  <c:v>224.88017752655966</c:v>
                </c:pt>
                <c:pt idx="11">
                  <c:v>233.1530718121567</c:v>
                </c:pt>
                <c:pt idx="12">
                  <c:v>242.60524052426385</c:v>
                </c:pt>
                <c:pt idx="13">
                  <c:v>253.00768616078597</c:v>
                </c:pt>
                <c:pt idx="14">
                  <c:v>263.87800472335539</c:v>
                </c:pt>
                <c:pt idx="15">
                  <c:v>274.73674172419561</c:v>
                </c:pt>
                <c:pt idx="16">
                  <c:v>285.0992874751301</c:v>
                </c:pt>
                <c:pt idx="17">
                  <c:v>294.56125431689929</c:v>
                </c:pt>
                <c:pt idx="18">
                  <c:v>302.8541156388265</c:v>
                </c:pt>
                <c:pt idx="19">
                  <c:v>309.85083001997077</c:v>
                </c:pt>
                <c:pt idx="20">
                  <c:v>315.55868365115714</c:v>
                </c:pt>
                <c:pt idx="21">
                  <c:v>320.07148741791696</c:v>
                </c:pt>
                <c:pt idx="22">
                  <c:v>323.54011604647513</c:v>
                </c:pt>
                <c:pt idx="23">
                  <c:v>326.12729866152688</c:v>
                </c:pt>
                <c:pt idx="24">
                  <c:v>327.99178680321069</c:v>
                </c:pt>
                <c:pt idx="25">
                  <c:v>329.27610134494734</c:v>
                </c:pt>
                <c:pt idx="26">
                  <c:v>330.09725170881813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BC6-4F30-86EA-0080CA97F209}"/>
            </c:ext>
          </c:extLst>
        </c:ser>
        <c:ser>
          <c:idx val="9"/>
          <c:order val="9"/>
          <c:tx>
            <c:strRef>
              <c:f>'Sub sectoral data'!$X$3</c:f>
              <c:strCache>
                <c:ptCount val="1"/>
                <c:pt idx="0">
                  <c:v>Wood &amp; wood products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'Sub sectoral data'!$N$4:$N$30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data'!$X$4:$X$30</c:f>
              <c:numCache>
                <c:formatCode>0</c:formatCode>
                <c:ptCount val="27"/>
                <c:pt idx="0">
                  <c:v>309.44088455511059</c:v>
                </c:pt>
                <c:pt idx="1">
                  <c:v>313.66694205848739</c:v>
                </c:pt>
                <c:pt idx="2">
                  <c:v>313.35378530013605</c:v>
                </c:pt>
                <c:pt idx="3">
                  <c:v>312.7441714222403</c:v>
                </c:pt>
                <c:pt idx="4">
                  <c:v>314.92738447769972</c:v>
                </c:pt>
                <c:pt idx="5">
                  <c:v>315.74088308581963</c:v>
                </c:pt>
                <c:pt idx="6">
                  <c:v>317.09080602456174</c:v>
                </c:pt>
                <c:pt idx="7">
                  <c:v>319.18604979586524</c:v>
                </c:pt>
                <c:pt idx="8">
                  <c:v>322.09353171264399</c:v>
                </c:pt>
                <c:pt idx="9">
                  <c:v>325.90007777716988</c:v>
                </c:pt>
                <c:pt idx="10">
                  <c:v>330.67508136360402</c:v>
                </c:pt>
                <c:pt idx="11">
                  <c:v>336.42826270374189</c:v>
                </c:pt>
                <c:pt idx="12">
                  <c:v>343.07732421771232</c:v>
                </c:pt>
                <c:pt idx="13">
                  <c:v>350.48122017694141</c:v>
                </c:pt>
                <c:pt idx="14">
                  <c:v>358.2328352604394</c:v>
                </c:pt>
                <c:pt idx="15">
                  <c:v>365.98463073386557</c:v>
                </c:pt>
                <c:pt idx="16">
                  <c:v>373.38060803252898</c:v>
                </c:pt>
                <c:pt idx="17">
                  <c:v>380.12252937214822</c:v>
                </c:pt>
                <c:pt idx="18">
                  <c:v>386.01218332106288</c:v>
                </c:pt>
                <c:pt idx="19">
                  <c:v>390.95117282719985</c:v>
                </c:pt>
                <c:pt idx="20">
                  <c:v>394.9428467606358</c:v>
                </c:pt>
                <c:pt idx="21">
                  <c:v>398.052056271597</c:v>
                </c:pt>
                <c:pt idx="22">
                  <c:v>400.38930556211636</c:v>
                </c:pt>
                <c:pt idx="23">
                  <c:v>402.07129214412259</c:v>
                </c:pt>
                <c:pt idx="24">
                  <c:v>403.21254768174367</c:v>
                </c:pt>
                <c:pt idx="25">
                  <c:v>403.91636011666503</c:v>
                </c:pt>
                <c:pt idx="26">
                  <c:v>404.26576864183437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BC6-4F30-86EA-0080CA97F209}"/>
            </c:ext>
          </c:extLst>
        </c:ser>
        <c:ser>
          <c:idx val="10"/>
          <c:order val="10"/>
          <c:tx>
            <c:strRef>
              <c:f>'Sub sectoral data'!$Y$3</c:f>
              <c:strCache>
                <c:ptCount val="1"/>
                <c:pt idx="0">
                  <c:v>Construction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'Sub sectoral data'!$N$4:$N$30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data'!$Y$4:$Y$30</c:f>
              <c:numCache>
                <c:formatCode>0</c:formatCode>
                <c:ptCount val="27"/>
                <c:pt idx="0">
                  <c:v>27.323698415462299</c:v>
                </c:pt>
                <c:pt idx="1">
                  <c:v>28.230918877505754</c:v>
                </c:pt>
                <c:pt idx="2">
                  <c:v>28.38269908682804</c:v>
                </c:pt>
                <c:pt idx="3">
                  <c:v>28.564707511837927</c:v>
                </c:pt>
                <c:pt idx="4">
                  <c:v>29.077335288232728</c:v>
                </c:pt>
                <c:pt idx="5">
                  <c:v>29.560314434552115</c:v>
                </c:pt>
                <c:pt idx="6">
                  <c:v>30.212196236059974</c:v>
                </c:pt>
                <c:pt idx="7">
                  <c:v>31.07983849333667</c:v>
                </c:pt>
                <c:pt idx="8">
                  <c:v>32.197469962200593</c:v>
                </c:pt>
                <c:pt idx="9">
                  <c:v>33.597980527044761</c:v>
                </c:pt>
                <c:pt idx="10">
                  <c:v>35.303995156186772</c:v>
                </c:pt>
                <c:pt idx="11">
                  <c:v>37.317180230161846</c:v>
                </c:pt>
                <c:pt idx="12">
                  <c:v>39.608894285463784</c:v>
                </c:pt>
                <c:pt idx="13">
                  <c:v>42.121382954781922</c:v>
                </c:pt>
                <c:pt idx="14">
                  <c:v>44.74523699639338</c:v>
                </c:pt>
                <c:pt idx="15">
                  <c:v>47.365355171290553</c:v>
                </c:pt>
                <c:pt idx="16">
                  <c:v>49.865924907281276</c:v>
                </c:pt>
                <c:pt idx="17">
                  <c:v>52.150435665367027</c:v>
                </c:pt>
                <c:pt idx="18">
                  <c:v>54.154820439414458</c:v>
                </c:pt>
                <c:pt idx="19">
                  <c:v>55.849283794794893</c:v>
                </c:pt>
                <c:pt idx="20">
                  <c:v>57.235790247512654</c:v>
                </c:pt>
                <c:pt idx="21">
                  <c:v>58.337211565176901</c:v>
                </c:pt>
                <c:pt idx="22">
                  <c:v>59.189640698229205</c:v>
                </c:pt>
                <c:pt idx="23">
                  <c:v>59.832283811799677</c:v>
                </c:pt>
                <c:pt idx="24">
                  <c:v>60.303312252807892</c:v>
                </c:pt>
                <c:pt idx="25">
                  <c:v>60.636942835442525</c:v>
                </c:pt>
                <c:pt idx="26">
                  <c:v>60.861463625710343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BC6-4F30-86EA-0080CA97F209}"/>
            </c:ext>
          </c:extLst>
        </c:ser>
        <c:ser>
          <c:idx val="11"/>
          <c:order val="11"/>
          <c:tx>
            <c:strRef>
              <c:f>'Sub sectoral data'!$Z$3</c:f>
              <c:strCache>
                <c:ptCount val="1"/>
                <c:pt idx="0">
                  <c:v>Textile, leather &amp; clothing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'Sub sectoral data'!$N$4:$N$30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data'!$Z$4:$Z$30</c:f>
              <c:numCache>
                <c:formatCode>0</c:formatCode>
                <c:ptCount val="27"/>
                <c:pt idx="0">
                  <c:v>23.908236113529512</c:v>
                </c:pt>
                <c:pt idx="1">
                  <c:v>24.244890174007818</c:v>
                </c:pt>
                <c:pt idx="2">
                  <c:v>24.224100809688199</c:v>
                </c:pt>
                <c:pt idx="3">
                  <c:v>24.181477055420416</c:v>
                </c:pt>
                <c:pt idx="4">
                  <c:v>24.356229345611087</c:v>
                </c:pt>
                <c:pt idx="5">
                  <c:v>24.426886812819756</c:v>
                </c:pt>
                <c:pt idx="6">
                  <c:v>24.541296864245918</c:v>
                </c:pt>
                <c:pt idx="7">
                  <c:v>24.716138725144909</c:v>
                </c:pt>
                <c:pt idx="8">
                  <c:v>24.957120175151008</c:v>
                </c:pt>
                <c:pt idx="9">
                  <c:v>25.271428409294376</c:v>
                </c:pt>
                <c:pt idx="10">
                  <c:v>25.664738101665723</c:v>
                </c:pt>
                <c:pt idx="11">
                  <c:v>26.137815602524899</c:v>
                </c:pt>
                <c:pt idx="12">
                  <c:v>26.683896648141598</c:v>
                </c:pt>
                <c:pt idx="13">
                  <c:v>27.291223783219323</c:v>
                </c:pt>
                <c:pt idx="14">
                  <c:v>27.926947750855255</c:v>
                </c:pt>
                <c:pt idx="15">
                  <c:v>28.562614439502244</c:v>
                </c:pt>
                <c:pt idx="16">
                  <c:v>29.169116785455202</c:v>
                </c:pt>
                <c:pt idx="17">
                  <c:v>29.722080055293446</c:v>
                </c:pt>
                <c:pt idx="18">
                  <c:v>30.205306007373338</c:v>
                </c:pt>
                <c:pt idx="19">
                  <c:v>30.610791569254932</c:v>
                </c:pt>
                <c:pt idx="20">
                  <c:v>30.938827160933428</c:v>
                </c:pt>
                <c:pt idx="21">
                  <c:v>31.194748810047962</c:v>
                </c:pt>
                <c:pt idx="22">
                  <c:v>31.387594266278189</c:v>
                </c:pt>
                <c:pt idx="23">
                  <c:v>31.526928505328648</c:v>
                </c:pt>
                <c:pt idx="24">
                  <c:v>31.622133150999577</c:v>
                </c:pt>
                <c:pt idx="25">
                  <c:v>31.681664887782006</c:v>
                </c:pt>
                <c:pt idx="26">
                  <c:v>31.71233732722941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BC6-4F30-86EA-0080CA97F209}"/>
            </c:ext>
          </c:extLst>
        </c:ser>
        <c:ser>
          <c:idx val="12"/>
          <c:order val="12"/>
          <c:tx>
            <c:strRef>
              <c:f>'Sub sectoral data'!$AA$3</c:f>
              <c:strCache>
                <c:ptCount val="1"/>
                <c:pt idx="0">
                  <c:v>Other industries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'Sub sectoral data'!$N$4:$N$30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data'!$AA$4:$AA$30</c:f>
              <c:numCache>
                <c:formatCode>0</c:formatCode>
                <c:ptCount val="27"/>
                <c:pt idx="0">
                  <c:v>102.46386905798367</c:v>
                </c:pt>
                <c:pt idx="1">
                  <c:v>103.34324737289501</c:v>
                </c:pt>
                <c:pt idx="2">
                  <c:v>103.06485169329596</c:v>
                </c:pt>
                <c:pt idx="3">
                  <c:v>102.63337305986983</c:v>
                </c:pt>
                <c:pt idx="4">
                  <c:v>103.04487437560154</c:v>
                </c:pt>
                <c:pt idx="5">
                  <c:v>102.91393741287564</c:v>
                </c:pt>
                <c:pt idx="6">
                  <c:v>102.84229237252167</c:v>
                </c:pt>
                <c:pt idx="7">
                  <c:v>102.87144716095881</c:v>
                </c:pt>
                <c:pt idx="8">
                  <c:v>102.99598652698685</c:v>
                </c:pt>
                <c:pt idx="9">
                  <c:v>103.22010266788136</c:v>
                </c:pt>
                <c:pt idx="10">
                  <c:v>103.5507109524895</c:v>
                </c:pt>
                <c:pt idx="11">
                  <c:v>103.99024322334678</c:v>
                </c:pt>
                <c:pt idx="12">
                  <c:v>104.53225966588303</c:v>
                </c:pt>
                <c:pt idx="13">
                  <c:v>105.1741620840192</c:v>
                </c:pt>
                <c:pt idx="14">
                  <c:v>105.85266819165679</c:v>
                </c:pt>
                <c:pt idx="15">
                  <c:v>106.53488691212374</c:v>
                </c:pt>
                <c:pt idx="16">
                  <c:v>107.18509116918293</c:v>
                </c:pt>
                <c:pt idx="17">
                  <c:v>107.77285265084068</c:v>
                </c:pt>
                <c:pt idx="18">
                  <c:v>108.27787566659569</c:v>
                </c:pt>
                <c:pt idx="19">
                  <c:v>108.68812889054213</c:v>
                </c:pt>
                <c:pt idx="20">
                  <c:v>109.00309640732381</c:v>
                </c:pt>
                <c:pt idx="21">
                  <c:v>109.22755874044222</c:v>
                </c:pt>
                <c:pt idx="22">
                  <c:v>109.37246559945704</c:v>
                </c:pt>
                <c:pt idx="23">
                  <c:v>109.44831877505686</c:v>
                </c:pt>
                <c:pt idx="24">
                  <c:v>109.46572422278464</c:v>
                </c:pt>
                <c:pt idx="25">
                  <c:v>109.43444843691422</c:v>
                </c:pt>
                <c:pt idx="26">
                  <c:v>109.3615846377496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BC6-4F30-86EA-0080CA97F2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75846095"/>
        <c:axId val="1575836495"/>
      </c:barChart>
      <c:catAx>
        <c:axId val="1575846095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5836495"/>
        <c:crosses val="autoZero"/>
        <c:auto val="1"/>
        <c:lblAlgn val="ctr"/>
        <c:lblOffset val="100"/>
        <c:noMultiLvlLbl val="0"/>
      </c:catAx>
      <c:valAx>
        <c:axId val="15758364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58460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1925713289246005E-2"/>
          <c:y val="0.66491164270132785"/>
          <c:w val="0.92977701467044049"/>
          <c:h val="0.314063387249597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'Sub sectoral data'!$B$63</c:f>
              <c:strCache>
                <c:ptCount val="1"/>
                <c:pt idx="0">
                  <c:v>Rail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'Sub sectoral data'!$A$64:$A$90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data'!$B$64:$B$90</c:f>
              <c:numCache>
                <c:formatCode>0</c:formatCode>
                <c:ptCount val="27"/>
                <c:pt idx="0">
                  <c:v>14.958756075261876</c:v>
                </c:pt>
                <c:pt idx="1">
                  <c:v>17.158654445563489</c:v>
                </c:pt>
                <c:pt idx="2">
                  <c:v>18.248805624045072</c:v>
                </c:pt>
                <c:pt idx="3">
                  <c:v>18.794488687089228</c:v>
                </c:pt>
                <c:pt idx="4">
                  <c:v>19.485806151808905</c:v>
                </c:pt>
                <c:pt idx="5">
                  <c:v>20.406581523906066</c:v>
                </c:pt>
                <c:pt idx="6">
                  <c:v>21.604366398959165</c:v>
                </c:pt>
                <c:pt idx="7">
                  <c:v>23.146970733230045</c:v>
                </c:pt>
                <c:pt idx="8">
                  <c:v>25.106505384828363</c:v>
                </c:pt>
                <c:pt idx="9">
                  <c:v>27.563086117640136</c:v>
                </c:pt>
                <c:pt idx="10">
                  <c:v>30.572914991593084</c:v>
                </c:pt>
                <c:pt idx="11">
                  <c:v>34.160615676832805</c:v>
                </c:pt>
                <c:pt idx="12">
                  <c:v>38.300506415693008</c:v>
                </c:pt>
                <c:pt idx="13">
                  <c:v>42.903092186113803</c:v>
                </c:pt>
                <c:pt idx="14">
                  <c:v>47.813065790470191</c:v>
                </c:pt>
                <c:pt idx="15">
                  <c:v>52.826591917722737</c:v>
                </c:pt>
                <c:pt idx="16">
                  <c:v>57.719840919542563</c:v>
                </c:pt>
                <c:pt idx="17">
                  <c:v>62.289404222972379</c:v>
                </c:pt>
                <c:pt idx="18">
                  <c:v>66.382701404426655</c:v>
                </c:pt>
                <c:pt idx="19">
                  <c:v>69.913926874901946</c:v>
                </c:pt>
                <c:pt idx="20">
                  <c:v>72.859413195981247</c:v>
                </c:pt>
                <c:pt idx="21">
                  <c:v>75.245387939709985</c:v>
                </c:pt>
                <c:pt idx="22">
                  <c:v>77.129883661091199</c:v>
                </c:pt>
                <c:pt idx="23">
                  <c:v>78.582696757523379</c:v>
                </c:pt>
                <c:pt idx="24">
                  <c:v>79.675856936254604</c:v>
                </c:pt>
                <c:pt idx="25">
                  <c:v>80.474711937480521</c:v>
                </c:pt>
                <c:pt idx="26">
                  <c:v>81.036875106475449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3A-470F-985A-B7B2EBDF4DB1}"/>
            </c:ext>
          </c:extLst>
        </c:ser>
        <c:ser>
          <c:idx val="1"/>
          <c:order val="1"/>
          <c:tx>
            <c:strRef>
              <c:f>'Sub sectoral data'!$C$63</c:f>
              <c:strCache>
                <c:ptCount val="1"/>
                <c:pt idx="0">
                  <c:v>Road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'Sub sectoral data'!$A$64:$A$90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data'!$C$64:$C$90</c:f>
              <c:numCache>
                <c:formatCode>0</c:formatCode>
                <c:ptCount val="27"/>
                <c:pt idx="0">
                  <c:v>85.475025135732949</c:v>
                </c:pt>
                <c:pt idx="1">
                  <c:v>229.37064673405089</c:v>
                </c:pt>
                <c:pt idx="2">
                  <c:v>287.54423321676086</c:v>
                </c:pt>
                <c:pt idx="3">
                  <c:v>352.92520708833285</c:v>
                </c:pt>
                <c:pt idx="4">
                  <c:v>438.90996332271237</c:v>
                </c:pt>
                <c:pt idx="5">
                  <c:v>552.19013502688426</c:v>
                </c:pt>
                <c:pt idx="6">
                  <c:v>699.77678018622146</c:v>
                </c:pt>
                <c:pt idx="7">
                  <c:v>889.92805626328618</c:v>
                </c:pt>
                <c:pt idx="8">
                  <c:v>1131.429545960053</c:v>
                </c:pt>
                <c:pt idx="9">
                  <c:v>1433.2250568814452</c:v>
                </c:pt>
                <c:pt idx="10">
                  <c:v>1802.1367175827399</c:v>
                </c:pt>
                <c:pt idx="11">
                  <c:v>2241.1273090604504</c:v>
                </c:pt>
                <c:pt idx="12">
                  <c:v>2747.0606660382223</c:v>
                </c:pt>
                <c:pt idx="13">
                  <c:v>3309.0489613179211</c:v>
                </c:pt>
                <c:pt idx="14">
                  <c:v>3908.2289444380508</c:v>
                </c:pt>
                <c:pt idx="15">
                  <c:v>4519.8014093283864</c:v>
                </c:pt>
                <c:pt idx="16">
                  <c:v>5116.6182914630781</c:v>
                </c:pt>
                <c:pt idx="17">
                  <c:v>5673.9863832616547</c:v>
                </c:pt>
                <c:pt idx="18">
                  <c:v>6173.3939772741278</c:v>
                </c:pt>
                <c:pt idx="19">
                  <c:v>6604.4244230066333</c:v>
                </c:pt>
                <c:pt idx="20">
                  <c:v>6964.2580772394513</c:v>
                </c:pt>
                <c:pt idx="21">
                  <c:v>7256.126423642756</c:v>
                </c:pt>
                <c:pt idx="22">
                  <c:v>7487.1070323251051</c:v>
                </c:pt>
                <c:pt idx="23">
                  <c:v>7665.7666278725264</c:v>
                </c:pt>
                <c:pt idx="24">
                  <c:v>7800.9307147545142</c:v>
                </c:pt>
                <c:pt idx="25">
                  <c:v>7900.6349958324508</c:v>
                </c:pt>
                <c:pt idx="26">
                  <c:v>7971.9377653013307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3A-470F-985A-B7B2EBDF4DB1}"/>
            </c:ext>
          </c:extLst>
        </c:ser>
        <c:ser>
          <c:idx val="2"/>
          <c:order val="2"/>
          <c:tx>
            <c:strRef>
              <c:f>'Sub sectoral data'!$D$63</c:f>
              <c:strCache>
                <c:ptCount val="1"/>
                <c:pt idx="0">
                  <c:v>Domestic aviation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'Sub sectoral data'!$A$64:$A$90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data'!$D$64:$D$90</c:f>
              <c:numCache>
                <c:formatCode>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D3A-470F-985A-B7B2EBDF4DB1}"/>
            </c:ext>
          </c:extLst>
        </c:ser>
        <c:ser>
          <c:idx val="3"/>
          <c:order val="3"/>
          <c:tx>
            <c:strRef>
              <c:f>'Sub sectoral data'!$E$63</c:f>
              <c:strCache>
                <c:ptCount val="1"/>
                <c:pt idx="0">
                  <c:v>Domestic navigation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'Sub sectoral data'!$A$64:$A$90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data'!$E$64:$E$90</c:f>
              <c:numCache>
                <c:formatCode>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D3A-470F-985A-B7B2EBDF4D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0652159"/>
        <c:axId val="40649759"/>
      </c:barChart>
      <c:catAx>
        <c:axId val="40652159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649759"/>
        <c:crosses val="autoZero"/>
        <c:auto val="1"/>
        <c:lblAlgn val="ctr"/>
        <c:lblOffset val="100"/>
        <c:noMultiLvlLbl val="0"/>
      </c:catAx>
      <c:valAx>
        <c:axId val="406497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6521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'Sub sectoral data'!$H$63</c:f>
              <c:strCache>
                <c:ptCount val="1"/>
                <c:pt idx="0">
                  <c:v>Space Heating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'Sub sectoral data'!$G$64:$G$90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data'!$H$64:$H$90</c:f>
              <c:numCache>
                <c:formatCode>0</c:formatCode>
                <c:ptCount val="27"/>
                <c:pt idx="0">
                  <c:v>496.73014382607278</c:v>
                </c:pt>
                <c:pt idx="1">
                  <c:v>610.86915258210422</c:v>
                </c:pt>
                <c:pt idx="2">
                  <c:v>616.93302337596185</c:v>
                </c:pt>
                <c:pt idx="3">
                  <c:v>656.1230452628231</c:v>
                </c:pt>
                <c:pt idx="4">
                  <c:v>706.67572198076516</c:v>
                </c:pt>
                <c:pt idx="5">
                  <c:v>773.35540362221991</c:v>
                </c:pt>
                <c:pt idx="6">
                  <c:v>860.03663583284185</c:v>
                </c:pt>
                <c:pt idx="7">
                  <c:v>971.63918030670516</c:v>
                </c:pt>
                <c:pt idx="8">
                  <c:v>1113.4315867905448</c:v>
                </c:pt>
                <c:pt idx="9">
                  <c:v>1291.0145333701153</c:v>
                </c:pt>
                <c:pt idx="10">
                  <c:v>1508.6115032568123</c:v>
                </c:pt>
                <c:pt idx="11">
                  <c:v>1768.2285880208633</c:v>
                </c:pt>
                <c:pt idx="12">
                  <c:v>2068.3070053422653</c:v>
                </c:pt>
                <c:pt idx="13">
                  <c:v>2402.7142249661615</c:v>
                </c:pt>
                <c:pt idx="14">
                  <c:v>2760.5566576328597</c:v>
                </c:pt>
                <c:pt idx="15">
                  <c:v>3127.3461684338913</c:v>
                </c:pt>
                <c:pt idx="16">
                  <c:v>3487.0549976708476</c:v>
                </c:pt>
                <c:pt idx="17">
                  <c:v>3824.9751747495079</c:v>
                </c:pt>
                <c:pt idx="18">
                  <c:v>4129.9420927385681</c:v>
                </c:pt>
                <c:pt idx="19">
                  <c:v>4395.5208699839513</c:v>
                </c:pt>
                <c:pt idx="20">
                  <c:v>4619.7461783236222</c:v>
                </c:pt>
                <c:pt idx="21">
                  <c:v>4804.2612281987258</c:v>
                </c:pt>
                <c:pt idx="22">
                  <c:v>4953.0369249888117</c:v>
                </c:pt>
                <c:pt idx="23">
                  <c:v>5070.9614164343047</c:v>
                </c:pt>
                <c:pt idx="24">
                  <c:v>5163.1264934669398</c:v>
                </c:pt>
                <c:pt idx="25">
                  <c:v>5234.1877965720678</c:v>
                </c:pt>
                <c:pt idx="26">
                  <c:v>5288.2609056870724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B0-46CF-8BF0-2B274D7EA251}"/>
            </c:ext>
          </c:extLst>
        </c:ser>
        <c:ser>
          <c:idx val="1"/>
          <c:order val="1"/>
          <c:tx>
            <c:strRef>
              <c:f>'Sub sectoral data'!$I$63</c:f>
              <c:strCache>
                <c:ptCount val="1"/>
                <c:pt idx="0">
                  <c:v>Space cooling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'Sub sectoral data'!$G$64:$G$90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data'!$I$64:$I$90</c:f>
              <c:numCache>
                <c:formatCode>0</c:formatCode>
                <c:ptCount val="27"/>
                <c:pt idx="0">
                  <c:v>33.200426005941615</c:v>
                </c:pt>
                <c:pt idx="1">
                  <c:v>35.126657590857739</c:v>
                </c:pt>
                <c:pt idx="2">
                  <c:v>33.8588667246106</c:v>
                </c:pt>
                <c:pt idx="3">
                  <c:v>33.950477412929551</c:v>
                </c:pt>
                <c:pt idx="4">
                  <c:v>33.991068370309698</c:v>
                </c:pt>
                <c:pt idx="5">
                  <c:v>34.042000011279455</c:v>
                </c:pt>
                <c:pt idx="6">
                  <c:v>34.081508338479324</c:v>
                </c:pt>
                <c:pt idx="7">
                  <c:v>34.109180501794313</c:v>
                </c:pt>
                <c:pt idx="8">
                  <c:v>34.124514136299645</c:v>
                </c:pt>
                <c:pt idx="9">
                  <c:v>34.141516223085517</c:v>
                </c:pt>
                <c:pt idx="10">
                  <c:v>34.160317205455037</c:v>
                </c:pt>
                <c:pt idx="11">
                  <c:v>34.181450199965262</c:v>
                </c:pt>
                <c:pt idx="12">
                  <c:v>34.205212863997438</c:v>
                </c:pt>
                <c:pt idx="13">
                  <c:v>34.231870685371845</c:v>
                </c:pt>
                <c:pt idx="14">
                  <c:v>34.261312148993547</c:v>
                </c:pt>
                <c:pt idx="15">
                  <c:v>34.294139390894813</c:v>
                </c:pt>
                <c:pt idx="16">
                  <c:v>34.329501968501525</c:v>
                </c:pt>
                <c:pt idx="17">
                  <c:v>34.367020579279867</c:v>
                </c:pt>
                <c:pt idx="18">
                  <c:v>34.406209660999316</c:v>
                </c:pt>
                <c:pt idx="19">
                  <c:v>34.446914208819301</c:v>
                </c:pt>
                <c:pt idx="20">
                  <c:v>34.488120438586279</c:v>
                </c:pt>
                <c:pt idx="21">
                  <c:v>34.529013014983732</c:v>
                </c:pt>
                <c:pt idx="22">
                  <c:v>34.569106118946173</c:v>
                </c:pt>
                <c:pt idx="23">
                  <c:v>34.606810298559324</c:v>
                </c:pt>
                <c:pt idx="24">
                  <c:v>34.640753709990598</c:v>
                </c:pt>
                <c:pt idx="25">
                  <c:v>34.669144489978393</c:v>
                </c:pt>
                <c:pt idx="26">
                  <c:v>34.690871656435476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B0-46CF-8BF0-2B274D7EA251}"/>
            </c:ext>
          </c:extLst>
        </c:ser>
        <c:ser>
          <c:idx val="2"/>
          <c:order val="2"/>
          <c:tx>
            <c:strRef>
              <c:f>'Sub sectoral data'!$J$63</c:f>
              <c:strCache>
                <c:ptCount val="1"/>
                <c:pt idx="0">
                  <c:v>Water heating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'Sub sectoral data'!$G$64:$G$90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data'!$J$64:$J$90</c:f>
              <c:numCache>
                <c:formatCode>0</c:formatCode>
                <c:ptCount val="27"/>
                <c:pt idx="0">
                  <c:v>550.26277196048295</c:v>
                </c:pt>
                <c:pt idx="1">
                  <c:v>593.1750175358294</c:v>
                </c:pt>
                <c:pt idx="2">
                  <c:v>575.38616475360914</c:v>
                </c:pt>
                <c:pt idx="3">
                  <c:v>581.77467177326969</c:v>
                </c:pt>
                <c:pt idx="4">
                  <c:v>588.8790920201053</c:v>
                </c:pt>
                <c:pt idx="5">
                  <c:v>598.21171488989955</c:v>
                </c:pt>
                <c:pt idx="6">
                  <c:v>609.9526973015179</c:v>
                </c:pt>
                <c:pt idx="7">
                  <c:v>624.72952966519836</c:v>
                </c:pt>
                <c:pt idx="8">
                  <c:v>643.21330608433891</c:v>
                </c:pt>
                <c:pt idx="9">
                  <c:v>666.33041301158551</c:v>
                </c:pt>
                <c:pt idx="10">
                  <c:v>694.62663605459966</c:v>
                </c:pt>
                <c:pt idx="11">
                  <c:v>728.36811643637316</c:v>
                </c:pt>
                <c:pt idx="12">
                  <c:v>767.35848335068795</c:v>
                </c:pt>
                <c:pt idx="13">
                  <c:v>810.81191482842144</c:v>
                </c:pt>
                <c:pt idx="14">
                  <c:v>857.32396605576093</c:v>
                </c:pt>
                <c:pt idx="15">
                  <c:v>905.03776114755317</c:v>
                </c:pt>
                <c:pt idx="16">
                  <c:v>951.87688416120466</c:v>
                </c:pt>
                <c:pt idx="17">
                  <c:v>995.94177465194696</c:v>
                </c:pt>
                <c:pt idx="18">
                  <c:v>1035.7876089843169</c:v>
                </c:pt>
                <c:pt idx="19">
                  <c:v>1070.5834710952204</c:v>
                </c:pt>
                <c:pt idx="20">
                  <c:v>1100.0614285443276</c:v>
                </c:pt>
                <c:pt idx="21">
                  <c:v>1124.4211416998935</c:v>
                </c:pt>
                <c:pt idx="22">
                  <c:v>1144.1668441196068</c:v>
                </c:pt>
                <c:pt idx="23">
                  <c:v>1159.9047211097804</c:v>
                </c:pt>
                <c:pt idx="24">
                  <c:v>1172.2703693040262</c:v>
                </c:pt>
                <c:pt idx="25">
                  <c:v>1181.8370683307021</c:v>
                </c:pt>
                <c:pt idx="26">
                  <c:v>1189.1185251190882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B0-46CF-8BF0-2B274D7EA251}"/>
            </c:ext>
          </c:extLst>
        </c:ser>
        <c:ser>
          <c:idx val="3"/>
          <c:order val="3"/>
          <c:tx>
            <c:strRef>
              <c:f>'Sub sectoral data'!$K$63</c:f>
              <c:strCache>
                <c:ptCount val="1"/>
                <c:pt idx="0">
                  <c:v>Cooking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'Sub sectoral data'!$G$64:$G$90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data'!$K$64:$K$90</c:f>
              <c:numCache>
                <c:formatCode>0</c:formatCode>
                <c:ptCount val="27"/>
                <c:pt idx="0">
                  <c:v>387.88974515802431</c:v>
                </c:pt>
                <c:pt idx="1">
                  <c:v>430.83095550408586</c:v>
                </c:pt>
                <c:pt idx="2">
                  <c:v>422.01489471853603</c:v>
                </c:pt>
                <c:pt idx="3">
                  <c:v>432.14404715483562</c:v>
                </c:pt>
                <c:pt idx="4">
                  <c:v>444.58164828193486</c:v>
                </c:pt>
                <c:pt idx="5">
                  <c:v>460.96588982992796</c:v>
                </c:pt>
                <c:pt idx="6">
                  <c:v>482.04855933336466</c:v>
                </c:pt>
                <c:pt idx="7">
                  <c:v>509.00473854915634</c:v>
                </c:pt>
                <c:pt idx="8">
                  <c:v>543.09232906221507</c:v>
                </c:pt>
                <c:pt idx="9">
                  <c:v>585.76630598378836</c:v>
                </c:pt>
                <c:pt idx="10">
                  <c:v>638.0393726054042</c:v>
                </c:pt>
                <c:pt idx="11">
                  <c:v>700.39636406177908</c:v>
                </c:pt>
                <c:pt idx="12">
                  <c:v>772.46631765474467</c:v>
                </c:pt>
                <c:pt idx="13">
                  <c:v>852.78246480450559</c:v>
                </c:pt>
                <c:pt idx="14">
                  <c:v>938.73457161964382</c:v>
                </c:pt>
                <c:pt idx="15">
                  <c:v>1026.8571864939024</c:v>
                </c:pt>
                <c:pt idx="16">
                  <c:v>1113.3043077856162</c:v>
                </c:pt>
                <c:pt idx="17">
                  <c:v>1194.5498776545933</c:v>
                </c:pt>
                <c:pt idx="18">
                  <c:v>1267.9157160014126</c:v>
                </c:pt>
                <c:pt idx="19">
                  <c:v>1331.8592265136801</c:v>
                </c:pt>
                <c:pt idx="20">
                  <c:v>1385.9014448849882</c:v>
                </c:pt>
                <c:pt idx="21">
                  <c:v>1430.4293638403171</c:v>
                </c:pt>
                <c:pt idx="22">
                  <c:v>1466.3901955057313</c:v>
                </c:pt>
                <c:pt idx="23">
                  <c:v>1494.9419192355854</c:v>
                </c:pt>
                <c:pt idx="24">
                  <c:v>1517.2930553638319</c:v>
                </c:pt>
                <c:pt idx="25">
                  <c:v>1534.5442515712496</c:v>
                </c:pt>
                <c:pt idx="26">
                  <c:v>1547.6723101994719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6B0-46CF-8BF0-2B274D7EA2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3084655"/>
        <c:axId val="233076495"/>
      </c:barChart>
      <c:catAx>
        <c:axId val="233084655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3076495"/>
        <c:crosses val="autoZero"/>
        <c:auto val="1"/>
        <c:lblAlgn val="ctr"/>
        <c:lblOffset val="100"/>
        <c:noMultiLvlLbl val="0"/>
      </c:catAx>
      <c:valAx>
        <c:axId val="2330764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30846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'Sub sectoral data'!$O$63</c:f>
              <c:strCache>
                <c:ptCount val="1"/>
                <c:pt idx="0">
                  <c:v>Iron &amp; steel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'Sub sectoral data'!$N$64:$N$90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data'!$O$64:$O$90</c:f>
              <c:numCache>
                <c:formatCode>0</c:formatCode>
                <c:ptCount val="27"/>
                <c:pt idx="0">
                  <c:v>17.964542776629212</c:v>
                </c:pt>
                <c:pt idx="1">
                  <c:v>19.329565121467571</c:v>
                </c:pt>
                <c:pt idx="2">
                  <c:v>18.174443966046756</c:v>
                </c:pt>
                <c:pt idx="3">
                  <c:v>18.150671721110772</c:v>
                </c:pt>
                <c:pt idx="4">
                  <c:v>18.099631497786177</c:v>
                </c:pt>
                <c:pt idx="5">
                  <c:v>18.054193250192331</c:v>
                </c:pt>
                <c:pt idx="6">
                  <c:v>18.002794651315938</c:v>
                </c:pt>
                <c:pt idx="7">
                  <c:v>17.9452910934782</c:v>
                </c:pt>
                <c:pt idx="8">
                  <c:v>17.881493957967649</c:v>
                </c:pt>
                <c:pt idx="9">
                  <c:v>17.818790810983643</c:v>
                </c:pt>
                <c:pt idx="10">
                  <c:v>17.757238238139614</c:v>
                </c:pt>
                <c:pt idx="11">
                  <c:v>17.69710030563164</c:v>
                </c:pt>
                <c:pt idx="12">
                  <c:v>17.638515333848126</c:v>
                </c:pt>
                <c:pt idx="13">
                  <c:v>17.581602781306334</c:v>
                </c:pt>
                <c:pt idx="14">
                  <c:v>17.526287200521683</c:v>
                </c:pt>
                <c:pt idx="15">
                  <c:v>17.472857806851763</c:v>
                </c:pt>
                <c:pt idx="16">
                  <c:v>17.420861915389036</c:v>
                </c:pt>
                <c:pt idx="17">
                  <c:v>17.370092045550887</c:v>
                </c:pt>
                <c:pt idx="18">
                  <c:v>17.320290418431629</c:v>
                </c:pt>
                <c:pt idx="19">
                  <c:v>17.271369011965916</c:v>
                </c:pt>
                <c:pt idx="20">
                  <c:v>17.222812268342384</c:v>
                </c:pt>
                <c:pt idx="21">
                  <c:v>17.174211513686171</c:v>
                </c:pt>
                <c:pt idx="22">
                  <c:v>17.125327830962753</c:v>
                </c:pt>
                <c:pt idx="23">
                  <c:v>17.075381596164696</c:v>
                </c:pt>
                <c:pt idx="24">
                  <c:v>17.023712643801861</c:v>
                </c:pt>
                <c:pt idx="25">
                  <c:v>16.969465902382225</c:v>
                </c:pt>
                <c:pt idx="26">
                  <c:v>16.912132101384813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AB-471C-8E34-45B6EEBA78A5}"/>
            </c:ext>
          </c:extLst>
        </c:ser>
        <c:ser>
          <c:idx val="1"/>
          <c:order val="1"/>
          <c:tx>
            <c:strRef>
              <c:f>'Sub sectoral data'!$P$63</c:f>
              <c:strCache>
                <c:ptCount val="1"/>
                <c:pt idx="0">
                  <c:v>Chemical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'Sub sectoral data'!$N$64:$N$90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data'!$P$64:$P$90</c:f>
              <c:numCache>
                <c:formatCode>0</c:formatCode>
                <c:ptCount val="27"/>
                <c:pt idx="0">
                  <c:v>527.04929728249965</c:v>
                </c:pt>
                <c:pt idx="1">
                  <c:v>582.69067692981503</c:v>
                </c:pt>
                <c:pt idx="2">
                  <c:v>552.88127548219722</c:v>
                </c:pt>
                <c:pt idx="3">
                  <c:v>558.82065803235764</c:v>
                </c:pt>
                <c:pt idx="4">
                  <c:v>566.05118445039159</c:v>
                </c:pt>
                <c:pt idx="5">
                  <c:v>576.1893012611132</c:v>
                </c:pt>
                <c:pt idx="6">
                  <c:v>589.59932766226507</c:v>
                </c:pt>
                <c:pt idx="7">
                  <c:v>607.0958523430487</c:v>
                </c:pt>
                <c:pt idx="8">
                  <c:v>629.53966543706747</c:v>
                </c:pt>
                <c:pt idx="9">
                  <c:v>658.01948749436986</c:v>
                </c:pt>
                <c:pt idx="10">
                  <c:v>693.19256854474804</c:v>
                </c:pt>
                <c:pt idx="11">
                  <c:v>735.32882157297684</c:v>
                </c:pt>
                <c:pt idx="12">
                  <c:v>784.07965792240759</c:v>
                </c:pt>
                <c:pt idx="13">
                  <c:v>838.32076067101229</c:v>
                </c:pt>
                <c:pt idx="14">
                  <c:v>896.1315376932788</c:v>
                </c:pt>
                <c:pt idx="15">
                  <c:v>955.02217962461532</c:v>
                </c:pt>
                <c:pt idx="16">
                  <c:v>1012.2649211916051</c:v>
                </c:pt>
                <c:pt idx="17">
                  <c:v>1065.40291389713</c:v>
                </c:pt>
                <c:pt idx="18">
                  <c:v>1112.609941780968</c:v>
                </c:pt>
                <c:pt idx="19">
                  <c:v>1152.8810990272038</c:v>
                </c:pt>
                <c:pt idx="20">
                  <c:v>1185.9590201392987</c:v>
                </c:pt>
                <c:pt idx="21">
                  <c:v>1212.1896566190592</c:v>
                </c:pt>
                <c:pt idx="22">
                  <c:v>1232.3010794935158</c:v>
                </c:pt>
                <c:pt idx="23">
                  <c:v>1247.1474011562907</c:v>
                </c:pt>
                <c:pt idx="24">
                  <c:v>1257.6054855939865</c:v>
                </c:pt>
                <c:pt idx="25">
                  <c:v>1264.462741773084</c:v>
                </c:pt>
                <c:pt idx="26">
                  <c:v>1268.4150303856127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AB-471C-8E34-45B6EEBA78A5}"/>
            </c:ext>
          </c:extLst>
        </c:ser>
        <c:ser>
          <c:idx val="2"/>
          <c:order val="2"/>
          <c:tx>
            <c:strRef>
              <c:f>'Sub sectoral data'!$Q$63</c:f>
              <c:strCache>
                <c:ptCount val="1"/>
                <c:pt idx="0">
                  <c:v>Non-ferrous metals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'Sub sectoral data'!$N$64:$N$90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data'!$Q$64:$Q$90</c:f>
              <c:numCache>
                <c:formatCode>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1AB-471C-8E34-45B6EEBA78A5}"/>
            </c:ext>
          </c:extLst>
        </c:ser>
        <c:ser>
          <c:idx val="3"/>
          <c:order val="3"/>
          <c:tx>
            <c:strRef>
              <c:f>'Sub sectoral data'!$R$63</c:f>
              <c:strCache>
                <c:ptCount val="1"/>
                <c:pt idx="0">
                  <c:v>Other non-metallic mineral products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'Sub sectoral data'!$N$64:$N$90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data'!$R$64:$R$90</c:f>
              <c:numCache>
                <c:formatCode>0</c:formatCode>
                <c:ptCount val="27"/>
                <c:pt idx="0">
                  <c:v>242.38726373242983</c:v>
                </c:pt>
                <c:pt idx="1">
                  <c:v>265.28762857417161</c:v>
                </c:pt>
                <c:pt idx="2">
                  <c:v>250.87495199445016</c:v>
                </c:pt>
                <c:pt idx="3">
                  <c:v>252.4620745616312</c:v>
                </c:pt>
                <c:pt idx="4">
                  <c:v>254.28241789720894</c:v>
                </c:pt>
                <c:pt idx="5">
                  <c:v>256.9669380118213</c:v>
                </c:pt>
                <c:pt idx="6">
                  <c:v>260.56187422104813</c:v>
                </c:pt>
                <c:pt idx="7">
                  <c:v>265.30066281922592</c:v>
                </c:pt>
                <c:pt idx="8">
                  <c:v>271.42979887756945</c:v>
                </c:pt>
                <c:pt idx="9">
                  <c:v>279.29962590676274</c:v>
                </c:pt>
                <c:pt idx="10">
                  <c:v>289.09936822184432</c:v>
                </c:pt>
                <c:pt idx="11">
                  <c:v>300.9079528889585</c:v>
                </c:pt>
                <c:pt idx="12">
                  <c:v>314.62587170153921</c:v>
                </c:pt>
                <c:pt idx="13">
                  <c:v>329.93052432244707</c:v>
                </c:pt>
                <c:pt idx="14">
                  <c:v>346.2694211468604</c:v>
                </c:pt>
                <c:pt idx="15">
                  <c:v>362.92828580689581</c:v>
                </c:pt>
                <c:pt idx="16">
                  <c:v>379.12068425995909</c:v>
                </c:pt>
                <c:pt idx="17">
                  <c:v>394.13930267007794</c:v>
                </c:pt>
                <c:pt idx="18">
                  <c:v>407.45785915404514</c:v>
                </c:pt>
                <c:pt idx="19">
                  <c:v>418.78703060704942</c:v>
                </c:pt>
                <c:pt idx="20">
                  <c:v>428.05022473180838</c:v>
                </c:pt>
                <c:pt idx="21">
                  <c:v>435.34482399439349</c:v>
                </c:pt>
                <c:pt idx="22">
                  <c:v>440.87891658256723</c:v>
                </c:pt>
                <c:pt idx="23">
                  <c:v>444.8940882004689</c:v>
                </c:pt>
                <c:pt idx="24">
                  <c:v>447.63906920503661</c:v>
                </c:pt>
                <c:pt idx="25">
                  <c:v>449.33588856070526</c:v>
                </c:pt>
                <c:pt idx="26">
                  <c:v>450.18200738472984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1AB-471C-8E34-45B6EEBA78A5}"/>
            </c:ext>
          </c:extLst>
        </c:ser>
        <c:ser>
          <c:idx val="4"/>
          <c:order val="4"/>
          <c:tx>
            <c:strRef>
              <c:f>'Sub sectoral data'!$S$63</c:f>
              <c:strCache>
                <c:ptCount val="1"/>
                <c:pt idx="0">
                  <c:v>Transport equipment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'Sub sectoral data'!$N$64:$N$90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data'!$S$64:$S$90</c:f>
              <c:numCache>
                <c:formatCode>0</c:formatCode>
                <c:ptCount val="27"/>
                <c:pt idx="0">
                  <c:v>56.753655040594751</c:v>
                </c:pt>
                <c:pt idx="1">
                  <c:v>61.106670256553265</c:v>
                </c:pt>
                <c:pt idx="2">
                  <c:v>57.468037396133369</c:v>
                </c:pt>
                <c:pt idx="3">
                  <c:v>57.410228769998639</c:v>
                </c:pt>
                <c:pt idx="4">
                  <c:v>57.271723664617788</c:v>
                </c:pt>
                <c:pt idx="5">
                  <c:v>57.158064060480015</c:v>
                </c:pt>
                <c:pt idx="6">
                  <c:v>57.03455533122294</c:v>
                </c:pt>
                <c:pt idx="7">
                  <c:v>56.902874159414125</c:v>
                </c:pt>
                <c:pt idx="8">
                  <c:v>56.764681933551302</c:v>
                </c:pt>
                <c:pt idx="9">
                  <c:v>56.645589497923368</c:v>
                </c:pt>
                <c:pt idx="10">
                  <c:v>56.547483807913387</c:v>
                </c:pt>
                <c:pt idx="11">
                  <c:v>56.471882195458768</c:v>
                </c:pt>
                <c:pt idx="12">
                  <c:v>56.41830279468526</c:v>
                </c:pt>
                <c:pt idx="13">
                  <c:v>56.384184373458041</c:v>
                </c:pt>
                <c:pt idx="14">
                  <c:v>56.364290094816539</c:v>
                </c:pt>
                <c:pt idx="15">
                  <c:v>56.353024150830436</c:v>
                </c:pt>
                <c:pt idx="16">
                  <c:v>56.341883620130773</c:v>
                </c:pt>
                <c:pt idx="17">
                  <c:v>56.32382738210584</c:v>
                </c:pt>
                <c:pt idx="18">
                  <c:v>56.293302419997573</c:v>
                </c:pt>
                <c:pt idx="19">
                  <c:v>56.247419023488057</c:v>
                </c:pt>
                <c:pt idx="20">
                  <c:v>56.183917265601316</c:v>
                </c:pt>
                <c:pt idx="21">
                  <c:v>56.102438705781964</c:v>
                </c:pt>
                <c:pt idx="22">
                  <c:v>56.004143864997012</c:v>
                </c:pt>
                <c:pt idx="23">
                  <c:v>55.888854804442687</c:v>
                </c:pt>
                <c:pt idx="24">
                  <c:v>55.756821128369445</c:v>
                </c:pt>
                <c:pt idx="25">
                  <c:v>55.607458510521667</c:v>
                </c:pt>
                <c:pt idx="26">
                  <c:v>55.441010110242551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1AB-471C-8E34-45B6EEBA78A5}"/>
            </c:ext>
          </c:extLst>
        </c:ser>
        <c:ser>
          <c:idx val="5"/>
          <c:order val="5"/>
          <c:tx>
            <c:strRef>
              <c:f>'Sub sectoral data'!$T$63</c:f>
              <c:strCache>
                <c:ptCount val="1"/>
                <c:pt idx="0">
                  <c:v>Machinery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'Sub sectoral data'!$N$64:$N$90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data'!$T$64:$T$90</c:f>
              <c:numCache>
                <c:formatCode>0</c:formatCode>
                <c:ptCount val="27"/>
                <c:pt idx="0">
                  <c:v>232.91342525321255</c:v>
                </c:pt>
                <c:pt idx="1">
                  <c:v>251.43815422169905</c:v>
                </c:pt>
                <c:pt idx="2">
                  <c:v>236.67817229148409</c:v>
                </c:pt>
                <c:pt idx="3">
                  <c:v>236.72192446044062</c:v>
                </c:pt>
                <c:pt idx="4">
                  <c:v>236.52303977205241</c:v>
                </c:pt>
                <c:pt idx="5">
                  <c:v>236.54226491203923</c:v>
                </c:pt>
                <c:pt idx="6">
                  <c:v>236.66700230151022</c:v>
                </c:pt>
                <c:pt idx="7">
                  <c:v>236.93880128852027</c:v>
                </c:pt>
                <c:pt idx="8">
                  <c:v>237.4011592381508</c:v>
                </c:pt>
                <c:pt idx="9">
                  <c:v>238.19610012505365</c:v>
                </c:pt>
                <c:pt idx="10">
                  <c:v>239.35912479833533</c:v>
                </c:pt>
                <c:pt idx="11">
                  <c:v>240.90756008037039</c:v>
                </c:pt>
                <c:pt idx="12">
                  <c:v>242.8244977769113</c:v>
                </c:pt>
                <c:pt idx="13">
                  <c:v>245.05167611524197</c:v>
                </c:pt>
                <c:pt idx="14">
                  <c:v>247.48638155865191</c:v>
                </c:pt>
                <c:pt idx="15">
                  <c:v>249.99987442410279</c:v>
                </c:pt>
                <c:pt idx="16">
                  <c:v>252.44233119662735</c:v>
                </c:pt>
                <c:pt idx="17">
                  <c:v>254.68109321577725</c:v>
                </c:pt>
                <c:pt idx="18">
                  <c:v>256.61637162122599</c:v>
                </c:pt>
                <c:pt idx="19">
                  <c:v>258.19387003371611</c:v>
                </c:pt>
                <c:pt idx="20">
                  <c:v>259.39405770361225</c:v>
                </c:pt>
                <c:pt idx="21">
                  <c:v>260.23061842589505</c:v>
                </c:pt>
                <c:pt idx="22">
                  <c:v>260.73943734448522</c:v>
                </c:pt>
                <c:pt idx="23">
                  <c:v>260.95691473030428</c:v>
                </c:pt>
                <c:pt idx="24">
                  <c:v>260.92202035431967</c:v>
                </c:pt>
                <c:pt idx="25">
                  <c:v>260.66675627158372</c:v>
                </c:pt>
                <c:pt idx="26">
                  <c:v>260.22221490352905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1AB-471C-8E34-45B6EEBA78A5}"/>
            </c:ext>
          </c:extLst>
        </c:ser>
        <c:ser>
          <c:idx val="6"/>
          <c:order val="6"/>
          <c:tx>
            <c:strRef>
              <c:f>'Sub sectoral data'!$U$63</c:f>
              <c:strCache>
                <c:ptCount val="1"/>
                <c:pt idx="0">
                  <c:v>Mining &amp; quarrying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'Sub sectoral data'!$N$64:$N$90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data'!$U$64:$U$90</c:f>
              <c:numCache>
                <c:formatCode>0</c:formatCode>
                <c:ptCount val="27"/>
                <c:pt idx="0">
                  <c:v>36.107837222677595</c:v>
                </c:pt>
                <c:pt idx="1">
                  <c:v>39.371787188160937</c:v>
                </c:pt>
                <c:pt idx="2">
                  <c:v>37.186185187308645</c:v>
                </c:pt>
                <c:pt idx="3">
                  <c:v>37.359855015941328</c:v>
                </c:pt>
                <c:pt idx="4">
                  <c:v>37.548492667475557</c:v>
                </c:pt>
                <c:pt idx="5">
                  <c:v>37.839923665754213</c:v>
                </c:pt>
                <c:pt idx="6">
                  <c:v>38.234383280675701</c:v>
                </c:pt>
                <c:pt idx="7">
                  <c:v>38.758902810287239</c:v>
                </c:pt>
                <c:pt idx="8">
                  <c:v>39.442009780633832</c:v>
                </c:pt>
                <c:pt idx="9">
                  <c:v>40.327648261950692</c:v>
                </c:pt>
                <c:pt idx="10">
                  <c:v>41.437807065231027</c:v>
                </c:pt>
                <c:pt idx="11">
                  <c:v>42.781764637643306</c:v>
                </c:pt>
                <c:pt idx="12">
                  <c:v>44.348032227892624</c:v>
                </c:pt>
                <c:pt idx="13">
                  <c:v>46.099217902761374</c:v>
                </c:pt>
                <c:pt idx="14">
                  <c:v>47.971159452400329</c:v>
                </c:pt>
                <c:pt idx="15">
                  <c:v>49.881077562189446</c:v>
                </c:pt>
                <c:pt idx="16">
                  <c:v>51.737488126722042</c:v>
                </c:pt>
                <c:pt idx="17">
                  <c:v>53.458199534345859</c:v>
                </c:pt>
                <c:pt idx="18">
                  <c:v>54.982010638855321</c:v>
                </c:pt>
                <c:pt idx="19">
                  <c:v>56.275299982616474</c:v>
                </c:pt>
                <c:pt idx="20">
                  <c:v>57.328948498145266</c:v>
                </c:pt>
                <c:pt idx="21">
                  <c:v>58.1540782033019</c:v>
                </c:pt>
                <c:pt idx="22">
                  <c:v>58.774736325496207</c:v>
                </c:pt>
                <c:pt idx="23">
                  <c:v>59.218618237123671</c:v>
                </c:pt>
                <c:pt idx="24">
                  <c:v>59.514301627220121</c:v>
                </c:pt>
                <c:pt idx="25">
                  <c:v>59.687178386316823</c:v>
                </c:pt>
                <c:pt idx="26">
                  <c:v>59.759942239707101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1AB-471C-8E34-45B6EEBA78A5}"/>
            </c:ext>
          </c:extLst>
        </c:ser>
        <c:ser>
          <c:idx val="7"/>
          <c:order val="7"/>
          <c:tx>
            <c:strRef>
              <c:f>'Sub sectoral data'!$V$63</c:f>
              <c:strCache>
                <c:ptCount val="1"/>
                <c:pt idx="0">
                  <c:v>Food, beverages &amp; tobacco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'Sub sectoral data'!$N$64:$N$90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data'!$V$64:$V$90</c:f>
              <c:numCache>
                <c:formatCode>0</c:formatCode>
                <c:ptCount val="27"/>
                <c:pt idx="0">
                  <c:v>727.96617370967624</c:v>
                </c:pt>
                <c:pt idx="1">
                  <c:v>790.08818409900391</c:v>
                </c:pt>
                <c:pt idx="2">
                  <c:v>745.0611308443489</c:v>
                </c:pt>
                <c:pt idx="3">
                  <c:v>746.99534513726144</c:v>
                </c:pt>
                <c:pt idx="4">
                  <c:v>748.73755198912693</c:v>
                </c:pt>
                <c:pt idx="5">
                  <c:v>751.90441515869145</c:v>
                </c:pt>
                <c:pt idx="6">
                  <c:v>756.33455437339694</c:v>
                </c:pt>
                <c:pt idx="7">
                  <c:v>762.37959753682276</c:v>
                </c:pt>
                <c:pt idx="8">
                  <c:v>770.41012360303182</c:v>
                </c:pt>
                <c:pt idx="9">
                  <c:v>781.10618680277889</c:v>
                </c:pt>
                <c:pt idx="10">
                  <c:v>794.75629949148833</c:v>
                </c:pt>
                <c:pt idx="11">
                  <c:v>811.48561934835186</c:v>
                </c:pt>
                <c:pt idx="12">
                  <c:v>831.14579189205983</c:v>
                </c:pt>
                <c:pt idx="13">
                  <c:v>853.24927017639925</c:v>
                </c:pt>
                <c:pt idx="14">
                  <c:v>876.9554654986681</c:v>
                </c:pt>
                <c:pt idx="15">
                  <c:v>901.18538480408108</c:v>
                </c:pt>
                <c:pt idx="16">
                  <c:v>924.73558668334385</c:v>
                </c:pt>
                <c:pt idx="17">
                  <c:v>946.52770291081117</c:v>
                </c:pt>
                <c:pt idx="18">
                  <c:v>965.7572947145942</c:v>
                </c:pt>
                <c:pt idx="19">
                  <c:v>981.98319792909683</c:v>
                </c:pt>
                <c:pt idx="20">
                  <c:v>995.07876311046471</c:v>
                </c:pt>
                <c:pt idx="21">
                  <c:v>1005.1837008853403</c:v>
                </c:pt>
                <c:pt idx="22">
                  <c:v>1012.6092533524914</c:v>
                </c:pt>
                <c:pt idx="23">
                  <c:v>1017.7067050861043</c:v>
                </c:pt>
                <c:pt idx="24">
                  <c:v>1020.8405842652651</c:v>
                </c:pt>
                <c:pt idx="25">
                  <c:v>1022.330962950244</c:v>
                </c:pt>
                <c:pt idx="26">
                  <c:v>1022.4675282390368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1AB-471C-8E34-45B6EEBA78A5}"/>
            </c:ext>
          </c:extLst>
        </c:ser>
        <c:ser>
          <c:idx val="8"/>
          <c:order val="8"/>
          <c:tx>
            <c:strRef>
              <c:f>'Sub sectoral data'!$W$63</c:f>
              <c:strCache>
                <c:ptCount val="1"/>
                <c:pt idx="0">
                  <c:v>Pulp, paper &amp; printing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'Sub sectoral data'!$N$64:$N$90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data'!$W$64:$W$90</c:f>
              <c:numCache>
                <c:formatCode>0</c:formatCode>
                <c:ptCount val="27"/>
                <c:pt idx="0">
                  <c:v>192.60492379918369</c:v>
                </c:pt>
                <c:pt idx="1">
                  <c:v>209.26739195273319</c:v>
                </c:pt>
                <c:pt idx="2">
                  <c:v>197.41335357705134</c:v>
                </c:pt>
                <c:pt idx="3">
                  <c:v>198.02140300073498</c:v>
                </c:pt>
                <c:pt idx="4">
                  <c:v>198.60899228894093</c:v>
                </c:pt>
                <c:pt idx="5">
                  <c:v>199.61331904199815</c:v>
                </c:pt>
                <c:pt idx="6">
                  <c:v>201.00189323601555</c:v>
                </c:pt>
                <c:pt idx="7">
                  <c:v>202.87962911804763</c:v>
                </c:pt>
                <c:pt idx="8">
                  <c:v>205.35714408233389</c:v>
                </c:pt>
                <c:pt idx="9">
                  <c:v>208.62701842948604</c:v>
                </c:pt>
                <c:pt idx="10">
                  <c:v>212.77509880013326</c:v>
                </c:pt>
                <c:pt idx="11">
                  <c:v>217.83830320575572</c:v>
                </c:pt>
                <c:pt idx="12">
                  <c:v>223.77226341546873</c:v>
                </c:pt>
                <c:pt idx="13">
                  <c:v>230.43162053884438</c:v>
                </c:pt>
                <c:pt idx="14">
                  <c:v>237.56613760294459</c:v>
                </c:pt>
                <c:pt idx="15">
                  <c:v>244.85408652652555</c:v>
                </c:pt>
                <c:pt idx="16">
                  <c:v>251.93767597058019</c:v>
                </c:pt>
                <c:pt idx="17">
                  <c:v>258.49603284528126</c:v>
                </c:pt>
                <c:pt idx="18">
                  <c:v>264.28993166033376</c:v>
                </c:pt>
                <c:pt idx="19">
                  <c:v>269.18810635654847</c:v>
                </c:pt>
                <c:pt idx="20">
                  <c:v>273.15353334300363</c:v>
                </c:pt>
                <c:pt idx="21">
                  <c:v>276.22837068450679</c:v>
                </c:pt>
                <c:pt idx="22">
                  <c:v>278.5056322023031</c:v>
                </c:pt>
                <c:pt idx="23">
                  <c:v>280.09098508271472</c:v>
                </c:pt>
                <c:pt idx="24">
                  <c:v>281.0938797582333</c:v>
                </c:pt>
                <c:pt idx="25">
                  <c:v>281.61078951671556</c:v>
                </c:pt>
                <c:pt idx="26">
                  <c:v>281.72867290101345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1AB-471C-8E34-45B6EEBA78A5}"/>
            </c:ext>
          </c:extLst>
        </c:ser>
        <c:ser>
          <c:idx val="9"/>
          <c:order val="9"/>
          <c:tx>
            <c:strRef>
              <c:f>'Sub sectoral data'!$X$63</c:f>
              <c:strCache>
                <c:ptCount val="1"/>
                <c:pt idx="0">
                  <c:v>Wood &amp; wood products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'Sub sectoral data'!$N$64:$N$90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data'!$X$64:$X$90</c:f>
              <c:numCache>
                <c:formatCode>0</c:formatCode>
                <c:ptCount val="27"/>
                <c:pt idx="0">
                  <c:v>347.13574201207882</c:v>
                </c:pt>
                <c:pt idx="1">
                  <c:v>373.96803590886213</c:v>
                </c:pt>
                <c:pt idx="2">
                  <c:v>351.76634689374134</c:v>
                </c:pt>
                <c:pt idx="3">
                  <c:v>351.50082498283206</c:v>
                </c:pt>
                <c:pt idx="4">
                  <c:v>350.76946836708072</c:v>
                </c:pt>
                <c:pt idx="5">
                  <c:v>350.2264812526891</c:v>
                </c:pt>
                <c:pt idx="6">
                  <c:v>349.66898825734023</c:v>
                </c:pt>
                <c:pt idx="7">
                  <c:v>349.11811026605221</c:v>
                </c:pt>
                <c:pt idx="8">
                  <c:v>348.59550481599734</c:v>
                </c:pt>
                <c:pt idx="9">
                  <c:v>348.26939221710194</c:v>
                </c:pt>
                <c:pt idx="10">
                  <c:v>348.16001338149977</c:v>
                </c:pt>
                <c:pt idx="11">
                  <c:v>348.28012790487992</c:v>
                </c:pt>
                <c:pt idx="12">
                  <c:v>348.62210902793151</c:v>
                </c:pt>
                <c:pt idx="13">
                  <c:v>349.15532537060568</c:v>
                </c:pt>
                <c:pt idx="14">
                  <c:v>349.82228990659991</c:v>
                </c:pt>
                <c:pt idx="15">
                  <c:v>350.55562481760455</c:v>
                </c:pt>
                <c:pt idx="16">
                  <c:v>351.2673021145481</c:v>
                </c:pt>
                <c:pt idx="17">
                  <c:v>351.8817344082824</c:v>
                </c:pt>
                <c:pt idx="18">
                  <c:v>352.34082404429608</c:v>
                </c:pt>
                <c:pt idx="19">
                  <c:v>352.61359577999787</c:v>
                </c:pt>
                <c:pt idx="20">
                  <c:v>352.68301231453847</c:v>
                </c:pt>
                <c:pt idx="21">
                  <c:v>352.55163089878442</c:v>
                </c:pt>
                <c:pt idx="22">
                  <c:v>352.23630397462034</c:v>
                </c:pt>
                <c:pt idx="23">
                  <c:v>351.74758023836665</c:v>
                </c:pt>
                <c:pt idx="24">
                  <c:v>351.09887886310383</c:v>
                </c:pt>
                <c:pt idx="25">
                  <c:v>350.29740711948091</c:v>
                </c:pt>
                <c:pt idx="26">
                  <c:v>349.35408421184616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1AB-471C-8E34-45B6EEBA78A5}"/>
            </c:ext>
          </c:extLst>
        </c:ser>
        <c:ser>
          <c:idx val="10"/>
          <c:order val="10"/>
          <c:tx>
            <c:strRef>
              <c:f>'Sub sectoral data'!$Y$63</c:f>
              <c:strCache>
                <c:ptCount val="1"/>
                <c:pt idx="0">
                  <c:v>Construction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'Sub sectoral data'!$N$64:$N$90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data'!$Y$64:$Y$90</c:f>
              <c:numCache>
                <c:formatCode>0</c:formatCode>
                <c:ptCount val="27"/>
                <c:pt idx="0">
                  <c:v>124.05365857692206</c:v>
                </c:pt>
                <c:pt idx="1">
                  <c:v>133.92993950897642</c:v>
                </c:pt>
                <c:pt idx="2">
                  <c:v>126.07105811020826</c:v>
                </c:pt>
                <c:pt idx="3">
                  <c:v>126.09848733702688</c:v>
                </c:pt>
                <c:pt idx="4">
                  <c:v>125.99798409058913</c:v>
                </c:pt>
                <c:pt idx="5">
                  <c:v>126.01535531143321</c:v>
                </c:pt>
                <c:pt idx="6">
                  <c:v>126.09106699673004</c:v>
                </c:pt>
                <c:pt idx="7">
                  <c:v>126.24775810023998</c:v>
                </c:pt>
                <c:pt idx="8">
                  <c:v>126.50913464871518</c:v>
                </c:pt>
                <c:pt idx="9">
                  <c:v>126.95138313735048</c:v>
                </c:pt>
                <c:pt idx="10">
                  <c:v>127.59381950003537</c:v>
                </c:pt>
                <c:pt idx="11">
                  <c:v>128.4458352846334</c:v>
                </c:pt>
                <c:pt idx="12">
                  <c:v>129.49820566018215</c:v>
                </c:pt>
                <c:pt idx="13">
                  <c:v>130.7191982530959</c:v>
                </c:pt>
                <c:pt idx="14">
                  <c:v>132.0529134377974</c:v>
                </c:pt>
                <c:pt idx="15">
                  <c:v>133.42922908912112</c:v>
                </c:pt>
                <c:pt idx="16">
                  <c:v>134.76665906972659</c:v>
                </c:pt>
                <c:pt idx="17">
                  <c:v>135.99302349138009</c:v>
                </c:pt>
                <c:pt idx="18">
                  <c:v>137.05404245977215</c:v>
                </c:pt>
                <c:pt idx="19">
                  <c:v>137.92017365902893</c:v>
                </c:pt>
                <c:pt idx="20">
                  <c:v>138.58086407986013</c:v>
                </c:pt>
                <c:pt idx="21">
                  <c:v>139.04362447484232</c:v>
                </c:pt>
                <c:pt idx="22">
                  <c:v>139.3280248786856</c:v>
                </c:pt>
                <c:pt idx="23">
                  <c:v>139.45399791298377</c:v>
                </c:pt>
                <c:pt idx="24">
                  <c:v>139.4428567245192</c:v>
                </c:pt>
                <c:pt idx="25">
                  <c:v>139.31215127713023</c:v>
                </c:pt>
                <c:pt idx="26">
                  <c:v>139.07888382598179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1AB-471C-8E34-45B6EEBA78A5}"/>
            </c:ext>
          </c:extLst>
        </c:ser>
        <c:ser>
          <c:idx val="11"/>
          <c:order val="11"/>
          <c:tx>
            <c:strRef>
              <c:f>'Sub sectoral data'!$Z$63</c:f>
              <c:strCache>
                <c:ptCount val="1"/>
                <c:pt idx="0">
                  <c:v>Textile, leather &amp; clothing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'Sub sectoral data'!$N$64:$N$90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data'!$Z$64:$Z$90</c:f>
              <c:numCache>
                <c:formatCode>0</c:formatCode>
                <c:ptCount val="27"/>
                <c:pt idx="0">
                  <c:v>157.21209325418292</c:v>
                </c:pt>
                <c:pt idx="1">
                  <c:v>169.9704774800835</c:v>
                </c:pt>
                <c:pt idx="2">
                  <c:v>160.07437111400009</c:v>
                </c:pt>
                <c:pt idx="3">
                  <c:v>160.21223913302074</c:v>
                </c:pt>
                <c:pt idx="4">
                  <c:v>160.22046666033009</c:v>
                </c:pt>
                <c:pt idx="5">
                  <c:v>160.42069338630756</c:v>
                </c:pt>
                <c:pt idx="6">
                  <c:v>160.74840231461178</c:v>
                </c:pt>
                <c:pt idx="7">
                  <c:v>161.24500465125323</c:v>
                </c:pt>
                <c:pt idx="8">
                  <c:v>161.95400172278519</c:v>
                </c:pt>
                <c:pt idx="9">
                  <c:v>162.98549078466996</c:v>
                </c:pt>
                <c:pt idx="10">
                  <c:v>164.374135752001</c:v>
                </c:pt>
                <c:pt idx="11">
                  <c:v>166.13591136023828</c:v>
                </c:pt>
                <c:pt idx="12">
                  <c:v>168.25364847287159</c:v>
                </c:pt>
                <c:pt idx="13">
                  <c:v>170.66961151251056</c:v>
                </c:pt>
                <c:pt idx="14">
                  <c:v>173.28315615534032</c:v>
                </c:pt>
                <c:pt idx="15">
                  <c:v>175.9666046709313</c:v>
                </c:pt>
                <c:pt idx="16">
                  <c:v>178.57451917203687</c:v>
                </c:pt>
                <c:pt idx="17">
                  <c:v>180.97735260009301</c:v>
                </c:pt>
                <c:pt idx="18">
                  <c:v>183.07806260048508</c:v>
                </c:pt>
                <c:pt idx="19">
                  <c:v>184.82363873101878</c:v>
                </c:pt>
                <c:pt idx="20">
                  <c:v>186.19694390689199</c:v>
                </c:pt>
                <c:pt idx="21">
                  <c:v>187.21305728272119</c:v>
                </c:pt>
                <c:pt idx="22">
                  <c:v>187.9081997292954</c:v>
                </c:pt>
                <c:pt idx="23">
                  <c:v>188.3212562014389</c:v>
                </c:pt>
                <c:pt idx="24">
                  <c:v>188.49316019372617</c:v>
                </c:pt>
                <c:pt idx="25">
                  <c:v>188.45877524822916</c:v>
                </c:pt>
                <c:pt idx="26">
                  <c:v>188.25069092789471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1AB-471C-8E34-45B6EEBA78A5}"/>
            </c:ext>
          </c:extLst>
        </c:ser>
        <c:ser>
          <c:idx val="12"/>
          <c:order val="12"/>
          <c:tx>
            <c:strRef>
              <c:f>'Sub sectoral data'!$AA$63</c:f>
              <c:strCache>
                <c:ptCount val="1"/>
                <c:pt idx="0">
                  <c:v>Other industries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'Sub sectoral data'!$N$64:$N$90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data'!$AA$64:$AA$90</c:f>
              <c:numCache>
                <c:formatCode>0</c:formatCode>
                <c:ptCount val="27"/>
                <c:pt idx="0">
                  <c:v>508.90600283645131</c:v>
                </c:pt>
                <c:pt idx="1">
                  <c:v>547.59729981239548</c:v>
                </c:pt>
                <c:pt idx="2">
                  <c:v>514.88048894030669</c:v>
                </c:pt>
                <c:pt idx="3">
                  <c:v>514.21661719092936</c:v>
                </c:pt>
                <c:pt idx="4">
                  <c:v>512.78329959248163</c:v>
                </c:pt>
                <c:pt idx="5">
                  <c:v>511.51262699037051</c:v>
                </c:pt>
                <c:pt idx="6">
                  <c:v>510.07807072778394</c:v>
                </c:pt>
                <c:pt idx="7">
                  <c:v>508.47671341121111</c:v>
                </c:pt>
                <c:pt idx="8">
                  <c:v>506.70445927554613</c:v>
                </c:pt>
                <c:pt idx="9">
                  <c:v>504.97184158308096</c:v>
                </c:pt>
                <c:pt idx="10">
                  <c:v>503.28140735090557</c:v>
                </c:pt>
                <c:pt idx="11">
                  <c:v>501.64101465550453</c:v>
                </c:pt>
                <c:pt idx="12">
                  <c:v>500.05407408040344</c:v>
                </c:pt>
                <c:pt idx="13">
                  <c:v>498.52234564314728</c:v>
                </c:pt>
                <c:pt idx="14">
                  <c:v>497.0409296041135</c:v>
                </c:pt>
                <c:pt idx="15">
                  <c:v>495.61442145325816</c:v>
                </c:pt>
                <c:pt idx="16">
                  <c:v>494.22608855400989</c:v>
                </c:pt>
                <c:pt idx="17">
                  <c:v>492.86652426273616</c:v>
                </c:pt>
                <c:pt idx="18">
                  <c:v>491.52580729316242</c:v>
                </c:pt>
                <c:pt idx="19">
                  <c:v>490.20000079413228</c:v>
                </c:pt>
                <c:pt idx="20">
                  <c:v>488.87415103748623</c:v>
                </c:pt>
                <c:pt idx="21">
                  <c:v>487.53719639337703</c:v>
                </c:pt>
                <c:pt idx="22">
                  <c:v>486.18342723921569</c:v>
                </c:pt>
                <c:pt idx="23">
                  <c:v>484.79202095236064</c:v>
                </c:pt>
                <c:pt idx="24">
                  <c:v>483.34556668905839</c:v>
                </c:pt>
                <c:pt idx="25">
                  <c:v>481.82101165877867</c:v>
                </c:pt>
                <c:pt idx="26">
                  <c:v>480.20495260767763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1AB-471C-8E34-45B6EEBA78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27676303"/>
        <c:axId val="227685423"/>
      </c:barChart>
      <c:catAx>
        <c:axId val="227676303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7685423"/>
        <c:crosses val="autoZero"/>
        <c:auto val="1"/>
        <c:lblAlgn val="ctr"/>
        <c:lblOffset val="100"/>
        <c:noMultiLvlLbl val="0"/>
      </c:catAx>
      <c:valAx>
        <c:axId val="2276854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76763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SEI expert scenario - Transport </a:t>
            </a:r>
            <a:r>
              <a:rPr lang="en-US" baseline="0"/>
              <a:t> Electrification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'Sub sectoral data'!$B$33</c:f>
              <c:strCache>
                <c:ptCount val="1"/>
                <c:pt idx="0">
                  <c:v>Rail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'Sub sectoral data'!$A$34:$A$60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data'!$B$34:$B$60</c:f>
              <c:numCache>
                <c:formatCode>0</c:formatCode>
                <c:ptCount val="27"/>
                <c:pt idx="0">
                  <c:v>83.990110542916199</c:v>
                </c:pt>
                <c:pt idx="1">
                  <c:v>98.42842732062816</c:v>
                </c:pt>
                <c:pt idx="2">
                  <c:v>107.26276142743605</c:v>
                </c:pt>
                <c:pt idx="3">
                  <c:v>108.48040443055018</c:v>
                </c:pt>
                <c:pt idx="4">
                  <c:v>109.90002530050982</c:v>
                </c:pt>
                <c:pt idx="5">
                  <c:v>111.57798659041197</c:v>
                </c:pt>
                <c:pt idx="6">
                  <c:v>113.6675339078364</c:v>
                </c:pt>
                <c:pt idx="7">
                  <c:v>116.27204254436184</c:v>
                </c:pt>
                <c:pt idx="8">
                  <c:v>119.50840319242945</c:v>
                </c:pt>
                <c:pt idx="9">
                  <c:v>123.50492634710353</c:v>
                </c:pt>
                <c:pt idx="10">
                  <c:v>128.36358369701887</c:v>
                </c:pt>
                <c:pt idx="11">
                  <c:v>134.14304044836055</c:v>
                </c:pt>
                <c:pt idx="12">
                  <c:v>140.94415991564904</c:v>
                </c:pt>
                <c:pt idx="13">
                  <c:v>148.54786712583524</c:v>
                </c:pt>
                <c:pt idx="14">
                  <c:v>156.73939783767204</c:v>
                </c:pt>
                <c:pt idx="15">
                  <c:v>165.24007677005491</c:v>
                </c:pt>
                <c:pt idx="16">
                  <c:v>173.70964529282753</c:v>
                </c:pt>
                <c:pt idx="17">
                  <c:v>181.85408903910908</c:v>
                </c:pt>
                <c:pt idx="18">
                  <c:v>189.43764903947752</c:v>
                </c:pt>
                <c:pt idx="19">
                  <c:v>196.30805483423845</c:v>
                </c:pt>
                <c:pt idx="20">
                  <c:v>202.40992849543926</c:v>
                </c:pt>
                <c:pt idx="21">
                  <c:v>207.76151345277111</c:v>
                </c:pt>
                <c:pt idx="22">
                  <c:v>212.43769230731101</c:v>
                </c:pt>
                <c:pt idx="23">
                  <c:v>216.53146307658722</c:v>
                </c:pt>
                <c:pt idx="24">
                  <c:v>220.14235933630516</c:v>
                </c:pt>
                <c:pt idx="25">
                  <c:v>223.36872272401271</c:v>
                </c:pt>
                <c:pt idx="26">
                  <c:v>226.30473479627426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DE-41B3-B292-68C828F6FDE1}"/>
            </c:ext>
          </c:extLst>
        </c:ser>
        <c:ser>
          <c:idx val="1"/>
          <c:order val="1"/>
          <c:tx>
            <c:strRef>
              <c:f>'Sub sectoral data'!$C$33</c:f>
              <c:strCache>
                <c:ptCount val="1"/>
                <c:pt idx="0">
                  <c:v>Road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'Sub sectoral data'!$A$34:$A$60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data'!$C$34:$C$60</c:f>
              <c:numCache>
                <c:formatCode>0</c:formatCode>
                <c:ptCount val="27"/>
                <c:pt idx="0">
                  <c:v>53.022352941176479</c:v>
                </c:pt>
                <c:pt idx="1">
                  <c:v>130.02249399342105</c:v>
                </c:pt>
                <c:pt idx="2">
                  <c:v>166.47178333718369</c:v>
                </c:pt>
                <c:pt idx="3">
                  <c:v>201.32489409338979</c:v>
                </c:pt>
                <c:pt idx="4">
                  <c:v>247.51216248752405</c:v>
                </c:pt>
                <c:pt idx="5">
                  <c:v>308.32188679865772</c:v>
                </c:pt>
                <c:pt idx="6">
                  <c:v>387.96597717628043</c:v>
                </c:pt>
                <c:pt idx="7">
                  <c:v>491.2023696129441</c:v>
                </c:pt>
                <c:pt idx="8">
                  <c:v>623.24699237351558</c:v>
                </c:pt>
                <c:pt idx="9">
                  <c:v>789.36014307527182</c:v>
                </c:pt>
                <c:pt idx="10">
                  <c:v>993.95987389109132</c:v>
                </c:pt>
                <c:pt idx="11">
                  <c:v>1239.5201382486782</c:v>
                </c:pt>
                <c:pt idx="12">
                  <c:v>1526.5217342704323</c:v>
                </c:pt>
                <c:pt idx="13">
                  <c:v>1849.1025762617653</c:v>
                </c:pt>
                <c:pt idx="14">
                  <c:v>2197.5765094693279</c:v>
                </c:pt>
                <c:pt idx="15">
                  <c:v>2558.7668093468765</c:v>
                </c:pt>
                <c:pt idx="16">
                  <c:v>2917.443904701066</c:v>
                </c:pt>
                <c:pt idx="17">
                  <c:v>3259.666390307752</c:v>
                </c:pt>
                <c:pt idx="18">
                  <c:v>3574.4788521043615</c:v>
                </c:pt>
                <c:pt idx="19">
                  <c:v>3855.0428532156452</c:v>
                </c:pt>
                <c:pt idx="20">
                  <c:v>4098.8877037765706</c:v>
                </c:pt>
                <c:pt idx="21">
                  <c:v>4306.9851255238591</c:v>
                </c:pt>
                <c:pt idx="22">
                  <c:v>4482.7423723890288</c:v>
                </c:pt>
                <c:pt idx="23">
                  <c:v>4630.5809010552994</c:v>
                </c:pt>
                <c:pt idx="24">
                  <c:v>4755.2150534521952</c:v>
                </c:pt>
                <c:pt idx="25">
                  <c:v>4861.1955110784156</c:v>
                </c:pt>
                <c:pt idx="26">
                  <c:v>4952.6985826185191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DE-41B3-B292-68C828F6FDE1}"/>
            </c:ext>
          </c:extLst>
        </c:ser>
        <c:ser>
          <c:idx val="2"/>
          <c:order val="2"/>
          <c:tx>
            <c:strRef>
              <c:f>'Sub sectoral data'!$D$33</c:f>
              <c:strCache>
                <c:ptCount val="1"/>
                <c:pt idx="0">
                  <c:v>Domestic aviation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'Sub sectoral data'!$A$34:$A$60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data'!$D$34:$D$60</c:f>
              <c:numCache>
                <c:formatCode>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0DE-41B3-B292-68C828F6FDE1}"/>
            </c:ext>
          </c:extLst>
        </c:ser>
        <c:ser>
          <c:idx val="3"/>
          <c:order val="3"/>
          <c:tx>
            <c:strRef>
              <c:f>'Sub sectoral data'!$E$33</c:f>
              <c:strCache>
                <c:ptCount val="1"/>
                <c:pt idx="0">
                  <c:v>Domestic navigation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'Sub sectoral data'!$A$34:$A$60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data'!$E$34:$E$60</c:f>
              <c:numCache>
                <c:formatCode>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0DE-41B3-B292-68C828F6FD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9987295"/>
        <c:axId val="209988255"/>
      </c:barChart>
      <c:catAx>
        <c:axId val="209987295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988255"/>
        <c:crosses val="autoZero"/>
        <c:auto val="1"/>
        <c:lblAlgn val="ctr"/>
        <c:lblOffset val="100"/>
        <c:noMultiLvlLbl val="0"/>
      </c:catAx>
      <c:valAx>
        <c:axId val="2099882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9872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kern="1200" spc="0" baseline="0">
                <a:solidFill>
                  <a:srgbClr val="000000">
                    <a:lumMod val="65000"/>
                    <a:lumOff val="35000"/>
                  </a:srgbClr>
                </a:solidFill>
              </a:rPr>
              <a:t>SEI expert scenario - Residential Electrification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'Sub sectoral data'!$H$33</c:f>
              <c:strCache>
                <c:ptCount val="1"/>
                <c:pt idx="0">
                  <c:v>Space Heating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'Sub sectoral data'!$G$34:$G$60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data'!$H$34:$H$60</c:f>
              <c:numCache>
                <c:formatCode>0</c:formatCode>
                <c:ptCount val="27"/>
                <c:pt idx="0">
                  <c:v>616.52569358743392</c:v>
                </c:pt>
                <c:pt idx="1">
                  <c:v>686.33214333494334</c:v>
                </c:pt>
                <c:pt idx="2">
                  <c:v>677.86353211571361</c:v>
                </c:pt>
                <c:pt idx="3">
                  <c:v>690.7908302349548</c:v>
                </c:pt>
                <c:pt idx="4">
                  <c:v>710.94307522222107</c:v>
                </c:pt>
                <c:pt idx="5">
                  <c:v>740.09325833611729</c:v>
                </c:pt>
                <c:pt idx="6">
                  <c:v>780.84606669725099</c:v>
                </c:pt>
                <c:pt idx="7">
                  <c:v>835.617268892894</c:v>
                </c:pt>
                <c:pt idx="8">
                  <c:v>906.87970917070095</c:v>
                </c:pt>
                <c:pt idx="9">
                  <c:v>996.89906865997978</c:v>
                </c:pt>
                <c:pt idx="10">
                  <c:v>1107.0900711651805</c:v>
                </c:pt>
                <c:pt idx="11">
                  <c:v>1237.4380259005463</c:v>
                </c:pt>
                <c:pt idx="12">
                  <c:v>1386.9873540221852</c:v>
                </c:pt>
                <c:pt idx="13">
                  <c:v>1550.2517425890451</c:v>
                </c:pt>
                <c:pt idx="14">
                  <c:v>1720.297517949024</c:v>
                </c:pt>
                <c:pt idx="15">
                  <c:v>1888.8411834142257</c:v>
                </c:pt>
                <c:pt idx="16">
                  <c:v>2047.139589406657</c:v>
                </c:pt>
                <c:pt idx="17">
                  <c:v>2188.0419755400326</c:v>
                </c:pt>
                <c:pt idx="18">
                  <c:v>2306.6651074560496</c:v>
                </c:pt>
                <c:pt idx="19">
                  <c:v>2400.75673749321</c:v>
                </c:pt>
                <c:pt idx="20">
                  <c:v>2470.5686092591618</c:v>
                </c:pt>
                <c:pt idx="21">
                  <c:v>2518.1064645772794</c:v>
                </c:pt>
                <c:pt idx="22">
                  <c:v>2546.4530696530164</c:v>
                </c:pt>
                <c:pt idx="23">
                  <c:v>2558.936656718894</c:v>
                </c:pt>
                <c:pt idx="24">
                  <c:v>2558.7674777302814</c:v>
                </c:pt>
                <c:pt idx="25">
                  <c:v>2548.8366152603098</c:v>
                </c:pt>
                <c:pt idx="26">
                  <c:v>2531.6499173603052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7D-456E-8143-398B195E26F1}"/>
            </c:ext>
          </c:extLst>
        </c:ser>
        <c:ser>
          <c:idx val="1"/>
          <c:order val="1"/>
          <c:tx>
            <c:strRef>
              <c:f>'Sub sectoral data'!$I$33</c:f>
              <c:strCache>
                <c:ptCount val="1"/>
                <c:pt idx="0">
                  <c:v>Space cooling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'Sub sectoral data'!$G$34:$G$60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data'!$I$34:$I$60</c:f>
              <c:numCache>
                <c:formatCode>0</c:formatCode>
                <c:ptCount val="27"/>
                <c:pt idx="0">
                  <c:v>13.806161584191488</c:v>
                </c:pt>
                <c:pt idx="1">
                  <c:v>14.01012461132861</c:v>
                </c:pt>
                <c:pt idx="2">
                  <c:v>13.431227079718933</c:v>
                </c:pt>
                <c:pt idx="3">
                  <c:v>13.172849412745055</c:v>
                </c:pt>
                <c:pt idx="4">
                  <c:v>12.91399954664333</c:v>
                </c:pt>
                <c:pt idx="5">
                  <c:v>12.653229158915911</c:v>
                </c:pt>
                <c:pt idx="6">
                  <c:v>12.398303121105148</c:v>
                </c:pt>
                <c:pt idx="7">
                  <c:v>12.149185192171341</c:v>
                </c:pt>
                <c:pt idx="8">
                  <c:v>11.906243237213436</c:v>
                </c:pt>
                <c:pt idx="9">
                  <c:v>11.670947017068505</c:v>
                </c:pt>
                <c:pt idx="10">
                  <c:v>11.443737446314097</c:v>
                </c:pt>
                <c:pt idx="11">
                  <c:v>11.224844225105326</c:v>
                </c:pt>
                <c:pt idx="12">
                  <c:v>11.023135210035194</c:v>
                </c:pt>
                <c:pt idx="13">
                  <c:v>10.828356691155573</c:v>
                </c:pt>
                <c:pt idx="14">
                  <c:v>10.639595397598555</c:v>
                </c:pt>
                <c:pt idx="15">
                  <c:v>10.457072907824333</c:v>
                </c:pt>
                <c:pt idx="16">
                  <c:v>10.279363934018624</c:v>
                </c:pt>
                <c:pt idx="17">
                  <c:v>10.106839350503147</c:v>
                </c:pt>
                <c:pt idx="18">
                  <c:v>9.9392940700964818</c:v>
                </c:pt>
                <c:pt idx="19">
                  <c:v>9.776089490180853</c:v>
                </c:pt>
                <c:pt idx="20">
                  <c:v>9.6168797070955652</c:v>
                </c:pt>
                <c:pt idx="21">
                  <c:v>9.4613041190768339</c:v>
                </c:pt>
                <c:pt idx="22">
                  <c:v>9.3093671278779251</c:v>
                </c:pt>
                <c:pt idx="23">
                  <c:v>9.1607748478012052</c:v>
                </c:pt>
                <c:pt idx="24">
                  <c:v>9.0152719449484913</c:v>
                </c:pt>
                <c:pt idx="25">
                  <c:v>8.872795229555523</c:v>
                </c:pt>
                <c:pt idx="26">
                  <c:v>8.7335664179849779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7D-456E-8143-398B195E26F1}"/>
            </c:ext>
          </c:extLst>
        </c:ser>
        <c:ser>
          <c:idx val="2"/>
          <c:order val="2"/>
          <c:tx>
            <c:strRef>
              <c:f>'Sub sectoral data'!$J$33</c:f>
              <c:strCache>
                <c:ptCount val="1"/>
                <c:pt idx="0">
                  <c:v>Water heating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'Sub sectoral data'!$G$34:$G$60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data'!$J$34:$J$60</c:f>
              <c:numCache>
                <c:formatCode>0</c:formatCode>
                <c:ptCount val="27"/>
                <c:pt idx="0">
                  <c:v>1394.8445592713522</c:v>
                </c:pt>
                <c:pt idx="1">
                  <c:v>1419.3870977025269</c:v>
                </c:pt>
                <c:pt idx="2">
                  <c:v>1362.0279284578421</c:v>
                </c:pt>
                <c:pt idx="3">
                  <c:v>1337.5103601941603</c:v>
                </c:pt>
                <c:pt idx="4">
                  <c:v>1313.4149607208515</c:v>
                </c:pt>
                <c:pt idx="5">
                  <c:v>1289.7145703089589</c:v>
                </c:pt>
                <c:pt idx="6">
                  <c:v>1267.3400965656201</c:v>
                </c:pt>
                <c:pt idx="7">
                  <c:v>1246.4446356012056</c:v>
                </c:pt>
                <c:pt idx="8">
                  <c:v>1227.2246415369671</c:v>
                </c:pt>
                <c:pt idx="9">
                  <c:v>1209.9712691796456</c:v>
                </c:pt>
                <c:pt idx="10">
                  <c:v>1194.8195266070791</c:v>
                </c:pt>
                <c:pt idx="11">
                  <c:v>1181.7910027696935</c:v>
                </c:pt>
                <c:pt idx="12">
                  <c:v>1171.6939779840277</c:v>
                </c:pt>
                <c:pt idx="13">
                  <c:v>1163.1664413551744</c:v>
                </c:pt>
                <c:pt idx="14">
                  <c:v>1155.6691490863468</c:v>
                </c:pt>
                <c:pt idx="15">
                  <c:v>1148.6866951834836</c:v>
                </c:pt>
                <c:pt idx="16">
                  <c:v>1141.5122521073417</c:v>
                </c:pt>
                <c:pt idx="17">
                  <c:v>1133.718518261285</c:v>
                </c:pt>
                <c:pt idx="18">
                  <c:v>1124.9687098615443</c:v>
                </c:pt>
                <c:pt idx="19">
                  <c:v>1115.0541087824852</c:v>
                </c:pt>
                <c:pt idx="20">
                  <c:v>1103.9570943584067</c:v>
                </c:pt>
                <c:pt idx="21">
                  <c:v>1091.7723430702076</c:v>
                </c:pt>
                <c:pt idx="22">
                  <c:v>1078.7001915438134</c:v>
                </c:pt>
                <c:pt idx="23">
                  <c:v>1064.9276214732433</c:v>
                </c:pt>
                <c:pt idx="24">
                  <c:v>1050.6377472931961</c:v>
                </c:pt>
                <c:pt idx="25">
                  <c:v>1036.0118426549059</c:v>
                </c:pt>
                <c:pt idx="26">
                  <c:v>1021.2341595576524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7D-456E-8143-398B195E26F1}"/>
            </c:ext>
          </c:extLst>
        </c:ser>
        <c:ser>
          <c:idx val="3"/>
          <c:order val="3"/>
          <c:tx>
            <c:strRef>
              <c:f>'Sub sectoral data'!$K$33</c:f>
              <c:strCache>
                <c:ptCount val="1"/>
                <c:pt idx="0">
                  <c:v>Cooking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'Sub sectoral data'!$G$34:$G$60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data'!$K$34:$K$60</c:f>
              <c:numCache>
                <c:formatCode>0</c:formatCode>
                <c:ptCount val="27"/>
                <c:pt idx="0">
                  <c:v>190.17312065811302</c:v>
                </c:pt>
                <c:pt idx="1">
                  <c:v>207.77768893071593</c:v>
                </c:pt>
                <c:pt idx="2">
                  <c:v>204.04061448658925</c:v>
                </c:pt>
                <c:pt idx="3">
                  <c:v>206.44496751826955</c:v>
                </c:pt>
                <c:pt idx="4">
                  <c:v>210.60902065500227</c:v>
                </c:pt>
                <c:pt idx="5">
                  <c:v>216.96075126074174</c:v>
                </c:pt>
                <c:pt idx="6">
                  <c:v>226.15748453750652</c:v>
                </c:pt>
                <c:pt idx="7">
                  <c:v>238.78795394875371</c:v>
                </c:pt>
                <c:pt idx="8">
                  <c:v>255.45597278841842</c:v>
                </c:pt>
                <c:pt idx="9">
                  <c:v>276.71804300729048</c:v>
                </c:pt>
                <c:pt idx="10">
                  <c:v>302.92027450220075</c:v>
                </c:pt>
                <c:pt idx="11">
                  <c:v>334.05975020309694</c:v>
                </c:pt>
                <c:pt idx="12">
                  <c:v>369.92917579613584</c:v>
                </c:pt>
                <c:pt idx="13">
                  <c:v>409.16164410756454</c:v>
                </c:pt>
                <c:pt idx="14">
                  <c:v>450.06444856483739</c:v>
                </c:pt>
                <c:pt idx="15">
                  <c:v>490.61914568024821</c:v>
                </c:pt>
                <c:pt idx="16">
                  <c:v>528.6904935694605</c:v>
                </c:pt>
                <c:pt idx="17">
                  <c:v>562.5365821130473</c:v>
                </c:pt>
                <c:pt idx="18">
                  <c:v>590.96654120526478</c:v>
                </c:pt>
                <c:pt idx="19">
                  <c:v>613.42954511289201</c:v>
                </c:pt>
                <c:pt idx="20">
                  <c:v>629.9859562020896</c:v>
                </c:pt>
                <c:pt idx="21">
                  <c:v>641.1236275079691</c:v>
                </c:pt>
                <c:pt idx="22">
                  <c:v>647.59398911941173</c:v>
                </c:pt>
                <c:pt idx="23">
                  <c:v>650.20744094419285</c:v>
                </c:pt>
                <c:pt idx="24">
                  <c:v>649.74573686643987</c:v>
                </c:pt>
                <c:pt idx="25">
                  <c:v>646.91338919567931</c:v>
                </c:pt>
                <c:pt idx="26">
                  <c:v>642.32183349581373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A7D-456E-8143-398B195E2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27703663"/>
        <c:axId val="227700783"/>
      </c:barChart>
      <c:catAx>
        <c:axId val="227703663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7700783"/>
        <c:crosses val="autoZero"/>
        <c:auto val="1"/>
        <c:lblAlgn val="ctr"/>
        <c:lblOffset val="100"/>
        <c:noMultiLvlLbl val="0"/>
      </c:catAx>
      <c:valAx>
        <c:axId val="227700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77036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1914260717410323E-2"/>
          <c:y val="0.16708333333333336"/>
          <c:w val="0.87753018372703417"/>
          <c:h val="0.29088400408282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'Sub sectoral data'!$O$33</c:f>
              <c:strCache>
                <c:ptCount val="1"/>
                <c:pt idx="0">
                  <c:v>Iron &amp; steel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'Sub sectoral data'!$N$34:$N$60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data'!$O$34:$O$60</c:f>
              <c:numCache>
                <c:formatCode>0</c:formatCode>
                <c:ptCount val="27"/>
                <c:pt idx="0">
                  <c:v>14.449841538244639</c:v>
                </c:pt>
                <c:pt idx="1">
                  <c:v>14.322892573801866</c:v>
                </c:pt>
                <c:pt idx="2">
                  <c:v>14.879102304419293</c:v>
                </c:pt>
                <c:pt idx="3">
                  <c:v>15.013522757204237</c:v>
                </c:pt>
                <c:pt idx="4">
                  <c:v>15.142623097767251</c:v>
                </c:pt>
                <c:pt idx="5">
                  <c:v>15.264182063637106</c:v>
                </c:pt>
                <c:pt idx="6">
                  <c:v>15.387180498698646</c:v>
                </c:pt>
                <c:pt idx="7">
                  <c:v>15.511708386363759</c:v>
                </c:pt>
                <c:pt idx="8">
                  <c:v>15.638390322465623</c:v>
                </c:pt>
                <c:pt idx="9">
                  <c:v>15.769411848897445</c:v>
                </c:pt>
                <c:pt idx="10">
                  <c:v>15.905787756199093</c:v>
                </c:pt>
                <c:pt idx="11">
                  <c:v>16.048359382870515</c:v>
                </c:pt>
                <c:pt idx="12">
                  <c:v>16.210790543612635</c:v>
                </c:pt>
                <c:pt idx="13">
                  <c:v>16.379412160007924</c:v>
                </c:pt>
                <c:pt idx="14">
                  <c:v>16.553485477239587</c:v>
                </c:pt>
                <c:pt idx="15">
                  <c:v>16.734015284930486</c:v>
                </c:pt>
                <c:pt idx="16">
                  <c:v>16.919392828856893</c:v>
                </c:pt>
                <c:pt idx="17">
                  <c:v>17.110805525992212</c:v>
                </c:pt>
                <c:pt idx="18">
                  <c:v>17.30849056118366</c:v>
                </c:pt>
                <c:pt idx="19">
                  <c:v>17.511834640864301</c:v>
                </c:pt>
                <c:pt idx="20">
                  <c:v>17.720597726434292</c:v>
                </c:pt>
                <c:pt idx="21">
                  <c:v>17.934410481659526</c:v>
                </c:pt>
                <c:pt idx="22">
                  <c:v>18.153523094491092</c:v>
                </c:pt>
                <c:pt idx="23">
                  <c:v>18.377588512930402</c:v>
                </c:pt>
                <c:pt idx="24">
                  <c:v>18.606285173235758</c:v>
                </c:pt>
                <c:pt idx="25">
                  <c:v>18.839658801273028</c:v>
                </c:pt>
                <c:pt idx="26">
                  <c:v>19.078384718913821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D7-4D6C-A5C6-5B2AFF039A6C}"/>
            </c:ext>
          </c:extLst>
        </c:ser>
        <c:ser>
          <c:idx val="1"/>
          <c:order val="1"/>
          <c:tx>
            <c:strRef>
              <c:f>'Sub sectoral data'!$P$33</c:f>
              <c:strCache>
                <c:ptCount val="1"/>
                <c:pt idx="0">
                  <c:v>Chemical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'Sub sectoral data'!$N$34:$N$60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data'!$P$34:$P$60</c:f>
              <c:numCache>
                <c:formatCode>0</c:formatCode>
                <c:ptCount val="27"/>
                <c:pt idx="0">
                  <c:v>90.532813983906777</c:v>
                </c:pt>
                <c:pt idx="1">
                  <c:v>90.586339718526602</c:v>
                </c:pt>
                <c:pt idx="2">
                  <c:v>94.40560227039208</c:v>
                </c:pt>
                <c:pt idx="3">
                  <c:v>95.66341548724094</c:v>
                </c:pt>
                <c:pt idx="4">
                  <c:v>97.027144008946095</c:v>
                </c:pt>
                <c:pt idx="5">
                  <c:v>98.52424771076997</c:v>
                </c:pt>
                <c:pt idx="6">
                  <c:v>100.26362771685125</c:v>
                </c:pt>
                <c:pt idx="7">
                  <c:v>102.30649216312111</c:v>
                </c:pt>
                <c:pt idx="8">
                  <c:v>104.72400424376268</c:v>
                </c:pt>
                <c:pt idx="9">
                  <c:v>107.59875078820551</c:v>
                </c:pt>
                <c:pt idx="10">
                  <c:v>110.99693189916043</c:v>
                </c:pt>
                <c:pt idx="11">
                  <c:v>114.96077241644346</c:v>
                </c:pt>
                <c:pt idx="12">
                  <c:v>119.58812275261627</c:v>
                </c:pt>
                <c:pt idx="13">
                  <c:v>124.72840475290134</c:v>
                </c:pt>
                <c:pt idx="14">
                  <c:v>130.26239678504965</c:v>
                </c:pt>
                <c:pt idx="15">
                  <c:v>136.03581826547651</c:v>
                </c:pt>
                <c:pt idx="16">
                  <c:v>141.8493474276587</c:v>
                </c:pt>
                <c:pt idx="17">
                  <c:v>147.53386985969405</c:v>
                </c:pt>
                <c:pt idx="18">
                  <c:v>152.94910672988311</c:v>
                </c:pt>
                <c:pt idx="19">
                  <c:v>157.99949443039057</c:v>
                </c:pt>
                <c:pt idx="20">
                  <c:v>162.64616540870574</c:v>
                </c:pt>
                <c:pt idx="21">
                  <c:v>166.89315958057122</c:v>
                </c:pt>
                <c:pt idx="22">
                  <c:v>170.78004776725959</c:v>
                </c:pt>
                <c:pt idx="23">
                  <c:v>174.35661617075942</c:v>
                </c:pt>
                <c:pt idx="24">
                  <c:v>177.6776252397388</c:v>
                </c:pt>
                <c:pt idx="25">
                  <c:v>180.79904362719441</c:v>
                </c:pt>
                <c:pt idx="26">
                  <c:v>183.77686538063185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D7-4D6C-A5C6-5B2AFF039A6C}"/>
            </c:ext>
          </c:extLst>
        </c:ser>
        <c:ser>
          <c:idx val="2"/>
          <c:order val="2"/>
          <c:tx>
            <c:strRef>
              <c:f>'Sub sectoral data'!$Q$33</c:f>
              <c:strCache>
                <c:ptCount val="1"/>
                <c:pt idx="0">
                  <c:v>Non-ferrous metals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'Sub sectoral data'!$N$34:$N$60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data'!$Q$34:$Q$60</c:f>
              <c:numCache>
                <c:formatCode>0</c:formatCode>
                <c:ptCount val="27"/>
                <c:pt idx="0">
                  <c:v>11.368457199970784</c:v>
                </c:pt>
                <c:pt idx="1">
                  <c:v>11.388477424246942</c:v>
                </c:pt>
                <c:pt idx="2">
                  <c:v>11.873312059963931</c:v>
                </c:pt>
                <c:pt idx="3">
                  <c:v>12.037770354049973</c:v>
                </c:pt>
                <c:pt idx="4">
                  <c:v>12.217710172923882</c:v>
                </c:pt>
                <c:pt idx="5">
                  <c:v>12.417227936510331</c:v>
                </c:pt>
                <c:pt idx="6">
                  <c:v>12.650823213005351</c:v>
                </c:pt>
                <c:pt idx="7">
                  <c:v>12.927132130336833</c:v>
                </c:pt>
                <c:pt idx="8">
                  <c:v>13.256144382944717</c:v>
                </c:pt>
                <c:pt idx="9">
                  <c:v>13.649309914866466</c:v>
                </c:pt>
                <c:pt idx="10">
                  <c:v>14.115879141296967</c:v>
                </c:pt>
                <c:pt idx="11">
                  <c:v>14.661733266204108</c:v>
                </c:pt>
                <c:pt idx="12">
                  <c:v>15.299351425434285</c:v>
                </c:pt>
                <c:pt idx="13">
                  <c:v>16.008807799913761</c:v>
                </c:pt>
                <c:pt idx="14">
                  <c:v>16.773336186917255</c:v>
                </c:pt>
                <c:pt idx="15">
                  <c:v>17.571047568929007</c:v>
                </c:pt>
                <c:pt idx="16">
                  <c:v>18.373947893520548</c:v>
                </c:pt>
                <c:pt idx="17">
                  <c:v>19.158035106683801</c:v>
                </c:pt>
                <c:pt idx="18">
                  <c:v>19.903473122775022</c:v>
                </c:pt>
                <c:pt idx="19">
                  <c:v>20.596824854332972</c:v>
                </c:pt>
                <c:pt idx="20">
                  <c:v>21.232624257525597</c:v>
                </c:pt>
                <c:pt idx="21">
                  <c:v>21.811478176116626</c:v>
                </c:pt>
                <c:pt idx="22">
                  <c:v>22.338950986551072</c:v>
                </c:pt>
                <c:pt idx="23">
                  <c:v>22.822108493174674</c:v>
                </c:pt>
                <c:pt idx="24">
                  <c:v>23.268716554938706</c:v>
                </c:pt>
                <c:pt idx="25">
                  <c:v>23.686675625777625</c:v>
                </c:pt>
                <c:pt idx="26">
                  <c:v>24.083827950097081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D7-4D6C-A5C6-5B2AFF039A6C}"/>
            </c:ext>
          </c:extLst>
        </c:ser>
        <c:ser>
          <c:idx val="3"/>
          <c:order val="3"/>
          <c:tx>
            <c:strRef>
              <c:f>'Sub sectoral data'!$R$33</c:f>
              <c:strCache>
                <c:ptCount val="1"/>
                <c:pt idx="0">
                  <c:v>Other non-metallic mineral products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'Sub sectoral data'!$N$34:$N$60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data'!$R$34:$R$60</c:f>
              <c:numCache>
                <c:formatCode>0</c:formatCode>
                <c:ptCount val="27"/>
                <c:pt idx="0">
                  <c:v>313.4867588696473</c:v>
                </c:pt>
                <c:pt idx="1">
                  <c:v>315.26131609844464</c:v>
                </c:pt>
                <c:pt idx="2">
                  <c:v>329.11231239394391</c:v>
                </c:pt>
                <c:pt idx="3">
                  <c:v>334.24581357326639</c:v>
                </c:pt>
                <c:pt idx="4">
                  <c:v>340.00674930332997</c:v>
                </c:pt>
                <c:pt idx="5">
                  <c:v>346.56766535981524</c:v>
                </c:pt>
                <c:pt idx="6">
                  <c:v>354.40418619249658</c:v>
                </c:pt>
                <c:pt idx="7">
                  <c:v>363.84178775531694</c:v>
                </c:pt>
                <c:pt idx="8">
                  <c:v>375.25278338249848</c:v>
                </c:pt>
                <c:pt idx="9">
                  <c:v>389.05212023877272</c:v>
                </c:pt>
                <c:pt idx="10">
                  <c:v>405.58105803056009</c:v>
                </c:pt>
                <c:pt idx="11">
                  <c:v>425.05498838108031</c:v>
                </c:pt>
                <c:pt idx="12">
                  <c:v>447.83565522709614</c:v>
                </c:pt>
                <c:pt idx="13">
                  <c:v>473.28008594201083</c:v>
                </c:pt>
                <c:pt idx="14">
                  <c:v>500.76092542432337</c:v>
                </c:pt>
                <c:pt idx="15">
                  <c:v>529.4433367162992</c:v>
                </c:pt>
                <c:pt idx="16">
                  <c:v>558.28285324097044</c:v>
                </c:pt>
                <c:pt idx="17">
                  <c:v>586.3633608911955</c:v>
                </c:pt>
                <c:pt idx="18">
                  <c:v>612.93372223819313</c:v>
                </c:pt>
                <c:pt idx="19">
                  <c:v>637.4913207625558</c:v>
                </c:pt>
                <c:pt idx="20">
                  <c:v>659.8316224336412</c:v>
                </c:pt>
                <c:pt idx="21">
                  <c:v>679.9805112949781</c:v>
                </c:pt>
                <c:pt idx="22">
                  <c:v>698.14615411122998</c:v>
                </c:pt>
                <c:pt idx="23">
                  <c:v>714.59821950999662</c:v>
                </c:pt>
                <c:pt idx="24">
                  <c:v>729.63261362886965</c:v>
                </c:pt>
                <c:pt idx="25">
                  <c:v>743.54738008585639</c:v>
                </c:pt>
                <c:pt idx="26">
                  <c:v>756.63331331588245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D7-4D6C-A5C6-5B2AFF039A6C}"/>
            </c:ext>
          </c:extLst>
        </c:ser>
        <c:ser>
          <c:idx val="4"/>
          <c:order val="4"/>
          <c:tx>
            <c:strRef>
              <c:f>'Sub sectoral data'!$S$33</c:f>
              <c:strCache>
                <c:ptCount val="1"/>
                <c:pt idx="0">
                  <c:v>Transport equipment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'Sub sectoral data'!$N$34:$N$60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data'!$S$34:$S$60</c:f>
              <c:numCache>
                <c:formatCode>0</c:formatCode>
                <c:ptCount val="27"/>
                <c:pt idx="0">
                  <c:v>43.553135523305357</c:v>
                </c:pt>
                <c:pt idx="1">
                  <c:v>43.577876392829687</c:v>
                </c:pt>
                <c:pt idx="2">
                  <c:v>45.414833212632097</c:v>
                </c:pt>
                <c:pt idx="3">
                  <c:v>46.019442526435441</c:v>
                </c:pt>
                <c:pt idx="4">
                  <c:v>46.674839599323803</c:v>
                </c:pt>
                <c:pt idx="5">
                  <c:v>47.394185526420799</c:v>
                </c:pt>
                <c:pt idx="6">
                  <c:v>48.229807427214844</c:v>
                </c:pt>
                <c:pt idx="7">
                  <c:v>49.211078961739979</c:v>
                </c:pt>
                <c:pt idx="8">
                  <c:v>50.372155074714982</c:v>
                </c:pt>
                <c:pt idx="9">
                  <c:v>51.752684390064353</c:v>
                </c:pt>
                <c:pt idx="10">
                  <c:v>53.384443035258592</c:v>
                </c:pt>
                <c:pt idx="11">
                  <c:v>55.287700428565209</c:v>
                </c:pt>
                <c:pt idx="12">
                  <c:v>57.509515472244267</c:v>
                </c:pt>
                <c:pt idx="13">
                  <c:v>59.977525865800942</c:v>
                </c:pt>
                <c:pt idx="14">
                  <c:v>62.634513193748191</c:v>
                </c:pt>
                <c:pt idx="15">
                  <c:v>65.406447689768697</c:v>
                </c:pt>
                <c:pt idx="16">
                  <c:v>68.197665444505986</c:v>
                </c:pt>
                <c:pt idx="17">
                  <c:v>70.927019490083268</c:v>
                </c:pt>
                <c:pt idx="18">
                  <c:v>73.527193602521635</c:v>
                </c:pt>
                <c:pt idx="19">
                  <c:v>75.952323479502937</c:v>
                </c:pt>
                <c:pt idx="20">
                  <c:v>78.183755299458724</c:v>
                </c:pt>
                <c:pt idx="21">
                  <c:v>80.223425014928878</c:v>
                </c:pt>
                <c:pt idx="22">
                  <c:v>82.090324012617728</c:v>
                </c:pt>
                <c:pt idx="23">
                  <c:v>83.808341459963856</c:v>
                </c:pt>
                <c:pt idx="24">
                  <c:v>85.403753790637595</c:v>
                </c:pt>
                <c:pt idx="25">
                  <c:v>86.903419975223741</c:v>
                </c:pt>
                <c:pt idx="26">
                  <c:v>88.334215859635918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D7-4D6C-A5C6-5B2AFF039A6C}"/>
            </c:ext>
          </c:extLst>
        </c:ser>
        <c:ser>
          <c:idx val="5"/>
          <c:order val="5"/>
          <c:tx>
            <c:strRef>
              <c:f>'Sub sectoral data'!$T$33</c:f>
              <c:strCache>
                <c:ptCount val="1"/>
                <c:pt idx="0">
                  <c:v>Machinery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'Sub sectoral data'!$N$34:$N$60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data'!$T$34:$T$60</c:f>
              <c:numCache>
                <c:formatCode>0</c:formatCode>
                <c:ptCount val="27"/>
                <c:pt idx="0">
                  <c:v>2.3215756200559041</c:v>
                </c:pt>
                <c:pt idx="1">
                  <c:v>2.3254905315535352</c:v>
                </c:pt>
                <c:pt idx="2">
                  <c:v>2.4244312564258101</c:v>
                </c:pt>
                <c:pt idx="3">
                  <c:v>2.4579306905478844</c:v>
                </c:pt>
                <c:pt idx="4">
                  <c:v>2.4945631852012919</c:v>
                </c:pt>
                <c:pt idx="5">
                  <c:v>2.5351568239121369</c:v>
                </c:pt>
                <c:pt idx="6">
                  <c:v>2.5826618380547108</c:v>
                </c:pt>
                <c:pt idx="7">
                  <c:v>2.6388294370887451</c:v>
                </c:pt>
                <c:pt idx="8">
                  <c:v>2.7056858952928824</c:v>
                </c:pt>
                <c:pt idx="9">
                  <c:v>2.7855553515804399</c:v>
                </c:pt>
                <c:pt idx="10">
                  <c:v>2.8803146241802513</c:v>
                </c:pt>
                <c:pt idx="11">
                  <c:v>2.9911571747822836</c:v>
                </c:pt>
                <c:pt idx="12">
                  <c:v>3.1206288914240505</c:v>
                </c:pt>
                <c:pt idx="13">
                  <c:v>3.2646739511448182</c:v>
                </c:pt>
                <c:pt idx="14">
                  <c:v>3.4198919090172777</c:v>
                </c:pt>
                <c:pt idx="15">
                  <c:v>3.5818455755829817</c:v>
                </c:pt>
                <c:pt idx="16">
                  <c:v>3.7448568973949814</c:v>
                </c:pt>
                <c:pt idx="17">
                  <c:v>3.9040604423932943</c:v>
                </c:pt>
                <c:pt idx="18">
                  <c:v>4.0554344107597942</c:v>
                </c:pt>
                <c:pt idx="19">
                  <c:v>4.1962535294123935</c:v>
                </c:pt>
                <c:pt idx="20">
                  <c:v>4.3254092011376795</c:v>
                </c:pt>
                <c:pt idx="21">
                  <c:v>4.4430240524072575</c:v>
                </c:pt>
                <c:pt idx="22">
                  <c:v>4.5502266304280985</c:v>
                </c:pt>
                <c:pt idx="23">
                  <c:v>4.6484492400930613</c:v>
                </c:pt>
                <c:pt idx="24">
                  <c:v>4.7392661620857339</c:v>
                </c:pt>
                <c:pt idx="25">
                  <c:v>4.8242793863358981</c:v>
                </c:pt>
                <c:pt idx="26">
                  <c:v>4.9050798165165697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DD7-4D6C-A5C6-5B2AFF039A6C}"/>
            </c:ext>
          </c:extLst>
        </c:ser>
        <c:ser>
          <c:idx val="6"/>
          <c:order val="6"/>
          <c:tx>
            <c:strRef>
              <c:f>'Sub sectoral data'!$U$33</c:f>
              <c:strCache>
                <c:ptCount val="1"/>
                <c:pt idx="0">
                  <c:v>Mining &amp; quarrying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'Sub sectoral data'!$N$34:$N$60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data'!$U$34:$U$60</c:f>
              <c:numCache>
                <c:formatCode>0</c:formatCode>
                <c:ptCount val="27"/>
                <c:pt idx="0">
                  <c:v>13.798722162171217</c:v>
                </c:pt>
                <c:pt idx="1">
                  <c:v>14.575435446334492</c:v>
                </c:pt>
                <c:pt idx="2">
                  <c:v>15.460335316755716</c:v>
                </c:pt>
                <c:pt idx="3">
                  <c:v>16.028336043174374</c:v>
                </c:pt>
                <c:pt idx="4">
                  <c:v>16.738548165523554</c:v>
                </c:pt>
                <c:pt idx="5">
                  <c:v>17.632617625227255</c:v>
                </c:pt>
                <c:pt idx="6">
                  <c:v>18.774794502289424</c:v>
                </c:pt>
                <c:pt idx="7">
                  <c:v>20.22931249751008</c:v>
                </c:pt>
                <c:pt idx="8">
                  <c:v>22.06790297763531</c:v>
                </c:pt>
                <c:pt idx="9">
                  <c:v>24.365526697014406</c:v>
                </c:pt>
                <c:pt idx="10">
                  <c:v>27.186451904337432</c:v>
                </c:pt>
                <c:pt idx="11">
                  <c:v>30.570570415843246</c:v>
                </c:pt>
                <c:pt idx="12">
                  <c:v>34.543879885411229</c:v>
                </c:pt>
                <c:pt idx="13">
                  <c:v>39.024638705068888</c:v>
                </c:pt>
                <c:pt idx="14">
                  <c:v>43.890928291737431</c:v>
                </c:pt>
                <c:pt idx="15">
                  <c:v>48.973855818399841</c:v>
                </c:pt>
                <c:pt idx="16">
                  <c:v>54.071710118239999</c:v>
                </c:pt>
                <c:pt idx="17">
                  <c:v>58.998871668016065</c:v>
                </c:pt>
                <c:pt idx="18">
                  <c:v>63.605612371851571</c:v>
                </c:pt>
                <c:pt idx="19">
                  <c:v>67.794326733050141</c:v>
                </c:pt>
                <c:pt idx="20">
                  <c:v>71.525263405842736</c:v>
                </c:pt>
                <c:pt idx="21">
                  <c:v>74.804790684939803</c:v>
                </c:pt>
                <c:pt idx="22">
                  <c:v>77.67334624215836</c:v>
                </c:pt>
                <c:pt idx="23">
                  <c:v>80.185561007388088</c:v>
                </c:pt>
                <c:pt idx="24">
                  <c:v>82.40118294067338</c:v>
                </c:pt>
                <c:pt idx="25">
                  <c:v>84.379154619216209</c:v>
                </c:pt>
                <c:pt idx="26">
                  <c:v>86.174874210604628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DD7-4D6C-A5C6-5B2AFF039A6C}"/>
            </c:ext>
          </c:extLst>
        </c:ser>
        <c:ser>
          <c:idx val="7"/>
          <c:order val="7"/>
          <c:tx>
            <c:strRef>
              <c:f>'Sub sectoral data'!$V$33</c:f>
              <c:strCache>
                <c:ptCount val="1"/>
                <c:pt idx="0">
                  <c:v>Food, beverages &amp; tobacco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'Sub sectoral data'!$N$34:$N$60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data'!$V$34:$V$60</c:f>
              <c:numCache>
                <c:formatCode>0</c:formatCode>
                <c:ptCount val="27"/>
                <c:pt idx="0">
                  <c:v>304.21320748834756</c:v>
                </c:pt>
                <c:pt idx="1">
                  <c:v>304.25566142398981</c:v>
                </c:pt>
                <c:pt idx="2">
                  <c:v>317.03521935314075</c:v>
                </c:pt>
                <c:pt idx="3">
                  <c:v>321.19451585497302</c:v>
                </c:pt>
                <c:pt idx="4">
                  <c:v>325.68717554630587</c:v>
                </c:pt>
                <c:pt idx="5">
                  <c:v>330.59877317804359</c:v>
                </c:pt>
                <c:pt idx="6">
                  <c:v>336.28672472499301</c:v>
                </c:pt>
                <c:pt idx="7">
                  <c:v>342.94688893240016</c:v>
                </c:pt>
                <c:pt idx="8">
                  <c:v>350.80750686874359</c:v>
                </c:pt>
                <c:pt idx="9">
                  <c:v>360.13493983930596</c:v>
                </c:pt>
                <c:pt idx="10">
                  <c:v>371.14195071694053</c:v>
                </c:pt>
                <c:pt idx="11">
                  <c:v>383.964444230862</c:v>
                </c:pt>
                <c:pt idx="12">
                  <c:v>398.92924099256072</c:v>
                </c:pt>
                <c:pt idx="13">
                  <c:v>415.5408711683146</c:v>
                </c:pt>
                <c:pt idx="14">
                  <c:v>433.41726828966318</c:v>
                </c:pt>
                <c:pt idx="15">
                  <c:v>452.06600186195982</c:v>
                </c:pt>
                <c:pt idx="16">
                  <c:v>470.84793165819076</c:v>
                </c:pt>
                <c:pt idx="17">
                  <c:v>489.22336802248594</c:v>
                </c:pt>
                <c:pt idx="18">
                  <c:v>506.74388507568273</c:v>
                </c:pt>
                <c:pt idx="19">
                  <c:v>523.10321117186345</c:v>
                </c:pt>
                <c:pt idx="20">
                  <c:v>538.17678928983889</c:v>
                </c:pt>
                <c:pt idx="21">
                  <c:v>551.97716610231669</c:v>
                </c:pt>
                <c:pt idx="22">
                  <c:v>564.63115825099271</c:v>
                </c:pt>
                <c:pt idx="23">
                  <c:v>576.29764947269894</c:v>
                </c:pt>
                <c:pt idx="24">
                  <c:v>587.15145893347812</c:v>
                </c:pt>
                <c:pt idx="25">
                  <c:v>597.37164258595442</c:v>
                </c:pt>
                <c:pt idx="26">
                  <c:v>607.1379760939451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DD7-4D6C-A5C6-5B2AFF039A6C}"/>
            </c:ext>
          </c:extLst>
        </c:ser>
        <c:ser>
          <c:idx val="8"/>
          <c:order val="8"/>
          <c:tx>
            <c:strRef>
              <c:f>'Sub sectoral data'!$W$33</c:f>
              <c:strCache>
                <c:ptCount val="1"/>
                <c:pt idx="0">
                  <c:v>Pulp, paper &amp; printing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'Sub sectoral data'!$N$34:$N$60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data'!$W$34:$W$60</c:f>
              <c:numCache>
                <c:formatCode>0</c:formatCode>
                <c:ptCount val="27"/>
                <c:pt idx="0">
                  <c:v>27.207643761408857</c:v>
                </c:pt>
                <c:pt idx="1">
                  <c:v>27.192010038401289</c:v>
                </c:pt>
                <c:pt idx="2">
                  <c:v>28.327309000585899</c:v>
                </c:pt>
                <c:pt idx="3">
                  <c:v>28.689786922170569</c:v>
                </c:pt>
                <c:pt idx="4">
                  <c:v>29.07889228933756</c:v>
                </c:pt>
                <c:pt idx="5">
                  <c:v>29.501331494173112</c:v>
                </c:pt>
                <c:pt idx="6">
                  <c:v>29.987865696099036</c:v>
                </c:pt>
                <c:pt idx="7">
                  <c:v>30.554623639103859</c:v>
                </c:pt>
                <c:pt idx="8">
                  <c:v>31.220479020598134</c:v>
                </c:pt>
                <c:pt idx="9">
                  <c:v>32.00767723784022</c:v>
                </c:pt>
                <c:pt idx="10">
                  <c:v>32.933877236756715</c:v>
                </c:pt>
                <c:pt idx="11">
                  <c:v>34.010387969838305</c:v>
                </c:pt>
                <c:pt idx="12">
                  <c:v>35.266158782803544</c:v>
                </c:pt>
                <c:pt idx="13">
                  <c:v>36.65836313996865</c:v>
                </c:pt>
                <c:pt idx="14">
                  <c:v>38.155453445932181</c:v>
                </c:pt>
                <c:pt idx="15">
                  <c:v>39.717064085035368</c:v>
                </c:pt>
                <c:pt idx="16">
                  <c:v>41.290364447343229</c:v>
                </c:pt>
                <c:pt idx="17">
                  <c:v>42.831127966157226</c:v>
                </c:pt>
                <c:pt idx="18">
                  <c:v>44.302494058151865</c:v>
                </c:pt>
                <c:pt idx="19">
                  <c:v>45.679170401135131</c:v>
                </c:pt>
                <c:pt idx="20">
                  <c:v>46.950872323015957</c:v>
                </c:pt>
                <c:pt idx="21">
                  <c:v>48.118576513284999</c:v>
                </c:pt>
                <c:pt idx="22">
                  <c:v>49.192755093946111</c:v>
                </c:pt>
                <c:pt idx="23">
                  <c:v>50.18642867257303</c:v>
                </c:pt>
                <c:pt idx="24">
                  <c:v>51.113932858280315</c:v>
                </c:pt>
                <c:pt idx="25">
                  <c:v>51.990007199285841</c:v>
                </c:pt>
                <c:pt idx="26">
                  <c:v>52.829545319722442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DD7-4D6C-A5C6-5B2AFF039A6C}"/>
            </c:ext>
          </c:extLst>
        </c:ser>
        <c:ser>
          <c:idx val="9"/>
          <c:order val="9"/>
          <c:tx>
            <c:strRef>
              <c:f>'Sub sectoral data'!$X$33</c:f>
              <c:strCache>
                <c:ptCount val="1"/>
                <c:pt idx="0">
                  <c:v>Wood &amp; wood products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'Sub sectoral data'!$N$34:$N$60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data'!$X$34:$X$60</c:f>
              <c:numCache>
                <c:formatCode>0</c:formatCode>
                <c:ptCount val="27"/>
                <c:pt idx="0">
                  <c:v>840.42525728223814</c:v>
                </c:pt>
                <c:pt idx="1">
                  <c:v>851.33833223022987</c:v>
                </c:pt>
                <c:pt idx="2">
                  <c:v>890.89649627829328</c:v>
                </c:pt>
                <c:pt idx="3">
                  <c:v>907.67272836219752</c:v>
                </c:pt>
                <c:pt idx="4">
                  <c:v>927.14077819342731</c:v>
                </c:pt>
                <c:pt idx="5">
                  <c:v>950.06326022702854</c:v>
                </c:pt>
                <c:pt idx="6">
                  <c:v>978.09693607219265</c:v>
                </c:pt>
                <c:pt idx="7">
                  <c:v>1012.5541258195515</c:v>
                </c:pt>
                <c:pt idx="8">
                  <c:v>1054.9206147396619</c:v>
                </c:pt>
                <c:pt idx="9">
                  <c:v>1106.8084048224871</c:v>
                </c:pt>
                <c:pt idx="10">
                  <c:v>1169.5663134222334</c:v>
                </c:pt>
                <c:pt idx="11">
                  <c:v>1244.0397461232521</c:v>
                </c:pt>
                <c:pt idx="12">
                  <c:v>1331.2872737835082</c:v>
                </c:pt>
                <c:pt idx="13">
                  <c:v>1429.1142730088716</c:v>
                </c:pt>
                <c:pt idx="14">
                  <c:v>1535.0079164460585</c:v>
                </c:pt>
                <c:pt idx="15">
                  <c:v>1645.5657024596687</c:v>
                </c:pt>
                <c:pt idx="16">
                  <c:v>1756.6152636348777</c:v>
                </c:pt>
                <c:pt idx="17">
                  <c:v>1864.4203404973982</c:v>
                </c:pt>
                <c:pt idx="18">
                  <c:v>1965.939226390554</c:v>
                </c:pt>
                <c:pt idx="19">
                  <c:v>2059.1593575665916</c:v>
                </c:pt>
                <c:pt idx="20">
                  <c:v>2143.2614631273309</c:v>
                </c:pt>
                <c:pt idx="21">
                  <c:v>2218.3610099688935</c:v>
                </c:pt>
                <c:pt idx="22">
                  <c:v>2285.2916465079979</c:v>
                </c:pt>
                <c:pt idx="23">
                  <c:v>2345.1531102345716</c:v>
                </c:pt>
                <c:pt idx="24">
                  <c:v>2399.150390648982</c:v>
                </c:pt>
                <c:pt idx="25">
                  <c:v>2448.4862820342523</c:v>
                </c:pt>
                <c:pt idx="26">
                  <c:v>2494.3157247412009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DD7-4D6C-A5C6-5B2AFF039A6C}"/>
            </c:ext>
          </c:extLst>
        </c:ser>
        <c:ser>
          <c:idx val="10"/>
          <c:order val="10"/>
          <c:tx>
            <c:strRef>
              <c:f>'Sub sectoral data'!$Y$33</c:f>
              <c:strCache>
                <c:ptCount val="1"/>
                <c:pt idx="0">
                  <c:v>Construction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'Sub sectoral data'!$N$34:$N$60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data'!$Y$34:$Y$60</c:f>
              <c:numCache>
                <c:formatCode>0</c:formatCode>
                <c:ptCount val="27"/>
                <c:pt idx="0">
                  <c:v>62.714337496783557</c:v>
                </c:pt>
                <c:pt idx="1">
                  <c:v>63.032250734378252</c:v>
                </c:pt>
                <c:pt idx="2">
                  <c:v>65.78858678517615</c:v>
                </c:pt>
                <c:pt idx="3">
                  <c:v>66.797403564914831</c:v>
                </c:pt>
                <c:pt idx="4">
                  <c:v>67.925656565153488</c:v>
                </c:pt>
                <c:pt idx="5">
                  <c:v>69.206056252094328</c:v>
                </c:pt>
                <c:pt idx="6">
                  <c:v>70.731453373297896</c:v>
                </c:pt>
                <c:pt idx="7">
                  <c:v>72.564310783148741</c:v>
                </c:pt>
                <c:pt idx="8">
                  <c:v>74.776172708018137</c:v>
                </c:pt>
                <c:pt idx="9">
                  <c:v>77.447040620726114</c:v>
                </c:pt>
                <c:pt idx="10">
                  <c:v>80.642570036849492</c:v>
                </c:pt>
                <c:pt idx="11">
                  <c:v>84.404236193674961</c:v>
                </c:pt>
                <c:pt idx="12">
                  <c:v>88.803872528017706</c:v>
                </c:pt>
                <c:pt idx="13">
                  <c:v>93.715687226015973</c:v>
                </c:pt>
                <c:pt idx="14">
                  <c:v>99.019182640651366</c:v>
                </c:pt>
                <c:pt idx="15">
                  <c:v>104.55436281861071</c:v>
                </c:pt>
                <c:pt idx="16">
                  <c:v>110.12054716233578</c:v>
                </c:pt>
                <c:pt idx="17">
                  <c:v>115.54217807616438</c:v>
                </c:pt>
                <c:pt idx="18">
                  <c:v>120.6751820632897</c:v>
                </c:pt>
                <c:pt idx="19">
                  <c:v>125.42301651722899</c:v>
                </c:pt>
                <c:pt idx="20">
                  <c:v>129.74639622526547</c:v>
                </c:pt>
                <c:pt idx="21">
                  <c:v>133.65022175169688</c:v>
                </c:pt>
                <c:pt idx="22">
                  <c:v>137.17447710083783</c:v>
                </c:pt>
                <c:pt idx="23">
                  <c:v>140.37084009194461</c:v>
                </c:pt>
                <c:pt idx="24">
                  <c:v>143.2960270866983</c:v>
                </c:pt>
                <c:pt idx="25">
                  <c:v>146.00722981857569</c:v>
                </c:pt>
                <c:pt idx="26">
                  <c:v>148.560361049623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DD7-4D6C-A5C6-5B2AFF039A6C}"/>
            </c:ext>
          </c:extLst>
        </c:ser>
        <c:ser>
          <c:idx val="11"/>
          <c:order val="11"/>
          <c:tx>
            <c:strRef>
              <c:f>'Sub sectoral data'!$Z$33</c:f>
              <c:strCache>
                <c:ptCount val="1"/>
                <c:pt idx="0">
                  <c:v>Textile, leather &amp; clothing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'Sub sectoral data'!$N$34:$N$60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data'!$Z$34:$Z$60</c:f>
              <c:numCache>
                <c:formatCode>0</c:formatCode>
                <c:ptCount val="27"/>
                <c:pt idx="0">
                  <c:v>21.413987908421166</c:v>
                </c:pt>
                <c:pt idx="1">
                  <c:v>21.523795446891615</c:v>
                </c:pt>
                <c:pt idx="2">
                  <c:v>22.465448671729135</c:v>
                </c:pt>
                <c:pt idx="3">
                  <c:v>22.810526549820555</c:v>
                </c:pt>
                <c:pt idx="4">
                  <c:v>23.196592151130904</c:v>
                </c:pt>
                <c:pt idx="5">
                  <c:v>23.634875735563003</c:v>
                </c:pt>
                <c:pt idx="6">
                  <c:v>24.157159275795586</c:v>
                </c:pt>
                <c:pt idx="7">
                  <c:v>24.78486055739133</c:v>
                </c:pt>
                <c:pt idx="8">
                  <c:v>25.5425079928565</c:v>
                </c:pt>
                <c:pt idx="9">
                  <c:v>26.457520175922429</c:v>
                </c:pt>
                <c:pt idx="10">
                  <c:v>27.552403849170741</c:v>
                </c:pt>
                <c:pt idx="11">
                  <c:v>28.841375488349524</c:v>
                </c:pt>
                <c:pt idx="12">
                  <c:v>30.348980924793374</c:v>
                </c:pt>
                <c:pt idx="13">
                  <c:v>32.032172173526554</c:v>
                </c:pt>
                <c:pt idx="14">
                  <c:v>33.849635537616393</c:v>
                </c:pt>
                <c:pt idx="15">
                  <c:v>35.746502522678455</c:v>
                </c:pt>
                <c:pt idx="16">
                  <c:v>37.653970361887986</c:v>
                </c:pt>
                <c:pt idx="17">
                  <c:v>39.511833369319092</c:v>
                </c:pt>
                <c:pt idx="18">
                  <c:v>41.270687631935644</c:v>
                </c:pt>
                <c:pt idx="19">
                  <c:v>42.897432787083368</c:v>
                </c:pt>
                <c:pt idx="20">
                  <c:v>44.37859954281312</c:v>
                </c:pt>
                <c:pt idx="21">
                  <c:v>45.715870605420932</c:v>
                </c:pt>
                <c:pt idx="22">
                  <c:v>46.922954817038438</c:v>
                </c:pt>
                <c:pt idx="23">
                  <c:v>48.017574542871742</c:v>
                </c:pt>
                <c:pt idx="24">
                  <c:v>49.019179691371257</c:v>
                </c:pt>
                <c:pt idx="25">
                  <c:v>49.947380871976627</c:v>
                </c:pt>
                <c:pt idx="26">
                  <c:v>50.821346190847628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DD7-4D6C-A5C6-5B2AFF039A6C}"/>
            </c:ext>
          </c:extLst>
        </c:ser>
        <c:ser>
          <c:idx val="12"/>
          <c:order val="12"/>
          <c:tx>
            <c:strRef>
              <c:f>'Sub sectoral data'!$AA$33</c:f>
              <c:strCache>
                <c:ptCount val="1"/>
                <c:pt idx="0">
                  <c:v>Other industries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'Sub sectoral data'!$N$34:$N$60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'Sub sectoral data'!$AA$34:$AA$60</c:f>
              <c:numCache>
                <c:formatCode>0</c:formatCode>
                <c:ptCount val="27"/>
                <c:pt idx="0">
                  <c:v>116.09088273737046</c:v>
                </c:pt>
                <c:pt idx="1">
                  <c:v>116.13132492218006</c:v>
                </c:pt>
                <c:pt idx="2">
                  <c:v>121.01768552781391</c:v>
                </c:pt>
                <c:pt idx="3">
                  <c:v>122.61678445757062</c:v>
                </c:pt>
                <c:pt idx="4">
                  <c:v>124.34707457156448</c:v>
                </c:pt>
                <c:pt idx="5">
                  <c:v>126.24239363397473</c:v>
                </c:pt>
                <c:pt idx="6">
                  <c:v>128.44063825311679</c:v>
                </c:pt>
                <c:pt idx="7">
                  <c:v>131.01828190487299</c:v>
                </c:pt>
                <c:pt idx="8">
                  <c:v>134.06434412080893</c:v>
                </c:pt>
                <c:pt idx="9">
                  <c:v>137.68243844718035</c:v>
                </c:pt>
                <c:pt idx="10">
                  <c:v>141.95546623957387</c:v>
                </c:pt>
                <c:pt idx="11">
                  <c:v>146.93634538916703</c:v>
                </c:pt>
                <c:pt idx="12">
                  <c:v>152.75014358895731</c:v>
                </c:pt>
                <c:pt idx="13">
                  <c:v>159.20593011310194</c:v>
                </c:pt>
                <c:pt idx="14">
                  <c:v>166.15463213997342</c:v>
                </c:pt>
                <c:pt idx="15">
                  <c:v>173.40374771169832</c:v>
                </c:pt>
                <c:pt idx="16">
                  <c:v>180.70397032609668</c:v>
                </c:pt>
                <c:pt idx="17">
                  <c:v>187.84430717310772</c:v>
                </c:pt>
                <c:pt idx="18">
                  <c:v>194.64958607825636</c:v>
                </c:pt>
                <c:pt idx="19">
                  <c:v>201.00031143715944</c:v>
                </c:pt>
                <c:pt idx="20">
                  <c:v>206.84788405117462</c:v>
                </c:pt>
                <c:pt idx="21">
                  <c:v>212.19727330286352</c:v>
                </c:pt>
                <c:pt idx="22">
                  <c:v>217.09795895202964</c:v>
                </c:pt>
                <c:pt idx="23">
                  <c:v>221.61205645696072</c:v>
                </c:pt>
                <c:pt idx="24">
                  <c:v>225.80789988435302</c:v>
                </c:pt>
                <c:pt idx="25">
                  <c:v>229.75540889085048</c:v>
                </c:pt>
                <c:pt idx="26">
                  <c:v>233.52466586443893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DD7-4D6C-A5C6-5B2AFF039A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27709423"/>
        <c:axId val="227714703"/>
      </c:barChart>
      <c:catAx>
        <c:axId val="227709423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7714703"/>
        <c:crosses val="autoZero"/>
        <c:auto val="1"/>
        <c:lblAlgn val="ctr"/>
        <c:lblOffset val="100"/>
        <c:noMultiLvlLbl val="0"/>
      </c:catAx>
      <c:valAx>
        <c:axId val="2277147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7709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7591207349081373E-2"/>
          <c:y val="0.59432487605715956"/>
          <c:w val="0.96481758530183725"/>
          <c:h val="0.3778973461650627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JRC Estonia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'EST Scenario projections'!$Q$3</c:f>
              <c:strCache>
                <c:ptCount val="1"/>
                <c:pt idx="0">
                  <c:v>Buildings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'EST Scenario projections'!$P$5:$P$31</c:f>
              <c:numCache>
                <c:formatCode>General</c:formatCode>
                <c:ptCount val="1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</c:numCache>
            </c:numRef>
          </c:xVal>
          <c:yVal>
            <c:numRef>
              <c:f>'EST Scenario projections'!$Q$5:$Q$31</c:f>
              <c:numCache>
                <c:formatCode>0%</c:formatCode>
                <c:ptCount val="17"/>
                <c:pt idx="0">
                  <c:v>0.29049999999999998</c:v>
                </c:pt>
                <c:pt idx="1">
                  <c:v>0.29836538461538459</c:v>
                </c:pt>
                <c:pt idx="2">
                  <c:v>0.3062307692307692</c:v>
                </c:pt>
                <c:pt idx="3">
                  <c:v>0.3140961538461538</c:v>
                </c:pt>
                <c:pt idx="4">
                  <c:v>0.32196153846153841</c:v>
                </c:pt>
                <c:pt idx="5">
                  <c:v>0.32982692307692302</c:v>
                </c:pt>
                <c:pt idx="6">
                  <c:v>0.33769230769230763</c:v>
                </c:pt>
                <c:pt idx="7">
                  <c:v>0.34555769230769223</c:v>
                </c:pt>
                <c:pt idx="8">
                  <c:v>0.35342307692307684</c:v>
                </c:pt>
                <c:pt idx="9">
                  <c:v>0.36128846153846145</c:v>
                </c:pt>
                <c:pt idx="10">
                  <c:v>0.36915384615384605</c:v>
                </c:pt>
                <c:pt idx="11">
                  <c:v>0.37701923076923066</c:v>
                </c:pt>
                <c:pt idx="12">
                  <c:v>0.38488461538461527</c:v>
                </c:pt>
                <c:pt idx="13">
                  <c:v>0.39274999999999988</c:v>
                </c:pt>
                <c:pt idx="14">
                  <c:v>0.40061538461538448</c:v>
                </c:pt>
                <c:pt idx="15">
                  <c:v>0.40848076923076909</c:v>
                </c:pt>
                <c:pt idx="16">
                  <c:v>0.4163461538461537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E4D-4CAC-9275-FE7D02436D48}"/>
            </c:ext>
          </c:extLst>
        </c:ser>
        <c:ser>
          <c:idx val="1"/>
          <c:order val="1"/>
          <c:tx>
            <c:strRef>
              <c:f>'EST Scenario projections'!$R$3</c:f>
              <c:strCache>
                <c:ptCount val="1"/>
                <c:pt idx="0">
                  <c:v>Industry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'EST Scenario projections'!$P$5:$P$31</c:f>
              <c:numCache>
                <c:formatCode>General</c:formatCode>
                <c:ptCount val="1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</c:numCache>
            </c:numRef>
          </c:xVal>
          <c:yVal>
            <c:numRef>
              <c:f>'EST Scenario projections'!$R$5:$R$31</c:f>
              <c:numCache>
                <c:formatCode>0%</c:formatCode>
                <c:ptCount val="17"/>
                <c:pt idx="0">
                  <c:v>0.313</c:v>
                </c:pt>
                <c:pt idx="1">
                  <c:v>0.32019230769230766</c:v>
                </c:pt>
                <c:pt idx="2">
                  <c:v>0.32738461538461539</c:v>
                </c:pt>
                <c:pt idx="3">
                  <c:v>0.33457692307692311</c:v>
                </c:pt>
                <c:pt idx="4">
                  <c:v>0.34176923076923083</c:v>
                </c:pt>
                <c:pt idx="5">
                  <c:v>0.34896153846153855</c:v>
                </c:pt>
                <c:pt idx="6">
                  <c:v>0.35615384615384627</c:v>
                </c:pt>
                <c:pt idx="7">
                  <c:v>0.36334615384615399</c:v>
                </c:pt>
                <c:pt idx="8">
                  <c:v>0.37053846153846171</c:v>
                </c:pt>
                <c:pt idx="9">
                  <c:v>0.37773076923076943</c:v>
                </c:pt>
                <c:pt idx="10">
                  <c:v>0.38492307692307715</c:v>
                </c:pt>
                <c:pt idx="11">
                  <c:v>0.39211538461538487</c:v>
                </c:pt>
                <c:pt idx="12">
                  <c:v>0.39930769230769259</c:v>
                </c:pt>
                <c:pt idx="13">
                  <c:v>0.40650000000000031</c:v>
                </c:pt>
                <c:pt idx="14">
                  <c:v>0.41369230769230803</c:v>
                </c:pt>
                <c:pt idx="15">
                  <c:v>0.42088461538461575</c:v>
                </c:pt>
                <c:pt idx="16">
                  <c:v>0.42807692307692347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E4D-4CAC-9275-FE7D02436D48}"/>
            </c:ext>
          </c:extLst>
        </c:ser>
        <c:ser>
          <c:idx val="2"/>
          <c:order val="2"/>
          <c:tx>
            <c:strRef>
              <c:f>'EST Scenario projections'!$S$3</c:f>
              <c:strCache>
                <c:ptCount val="1"/>
                <c:pt idx="0">
                  <c:v>Transport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'EST Scenario projections'!$P$5:$P$31</c:f>
              <c:numCache>
                <c:formatCode>General</c:formatCode>
                <c:ptCount val="1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</c:numCache>
            </c:numRef>
          </c:xVal>
          <c:yVal>
            <c:numRef>
              <c:f>'EST Scenario projections'!$S$5:$S$31</c:f>
              <c:numCache>
                <c:formatCode>0%</c:formatCode>
                <c:ptCount val="17"/>
                <c:pt idx="0">
                  <c:v>6.0000000000000001E-3</c:v>
                </c:pt>
                <c:pt idx="1">
                  <c:v>2.019230769230769E-2</c:v>
                </c:pt>
                <c:pt idx="2">
                  <c:v>3.4384615384615382E-2</c:v>
                </c:pt>
                <c:pt idx="3">
                  <c:v>4.8576923076923073E-2</c:v>
                </c:pt>
                <c:pt idx="4">
                  <c:v>6.2769230769230772E-2</c:v>
                </c:pt>
                <c:pt idx="5">
                  <c:v>7.696153846153847E-2</c:v>
                </c:pt>
                <c:pt idx="6">
                  <c:v>9.1153846153846169E-2</c:v>
                </c:pt>
                <c:pt idx="7">
                  <c:v>0.10534615384615387</c:v>
                </c:pt>
                <c:pt idx="8">
                  <c:v>0.11953846153846157</c:v>
                </c:pt>
                <c:pt idx="9">
                  <c:v>0.13373076923076926</c:v>
                </c:pt>
                <c:pt idx="10">
                  <c:v>0.14792307692307696</c:v>
                </c:pt>
                <c:pt idx="11">
                  <c:v>0.16211538461538466</c:v>
                </c:pt>
                <c:pt idx="12">
                  <c:v>0.17630769230769236</c:v>
                </c:pt>
                <c:pt idx="13">
                  <c:v>0.19050000000000006</c:v>
                </c:pt>
                <c:pt idx="14">
                  <c:v>0.20469230769230776</c:v>
                </c:pt>
                <c:pt idx="15">
                  <c:v>0.21888461538461546</c:v>
                </c:pt>
                <c:pt idx="16">
                  <c:v>0.23307692307692315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E4D-4CAC-9275-FE7D02436D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45898352"/>
        <c:axId val="1945908912"/>
      </c:scatterChart>
      <c:valAx>
        <c:axId val="19458983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5908912"/>
        <c:crosses val="autoZero"/>
        <c:crossBetween val="midCat"/>
      </c:valAx>
      <c:valAx>
        <c:axId val="1945908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Electrification</a:t>
                </a:r>
                <a:r>
                  <a:rPr lang="en-US" baseline="0"/>
                  <a:t> of FEC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589835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Eurelectric Estonia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'EST Scenario projections'!$J$3</c:f>
              <c:strCache>
                <c:ptCount val="1"/>
                <c:pt idx="0">
                  <c:v>Buildings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'EST Scenario projections'!$I$5:$I$31</c:f>
              <c:numCache>
                <c:formatCode>General</c:formatCode>
                <c:ptCount val="1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</c:numCache>
            </c:numRef>
          </c:xVal>
          <c:yVal>
            <c:numRef>
              <c:f>'EST Scenario projections'!$J$5:$J$31</c:f>
              <c:numCache>
                <c:formatCode>0%</c:formatCode>
                <c:ptCount val="17"/>
                <c:pt idx="0">
                  <c:v>0.29049999999999998</c:v>
                </c:pt>
                <c:pt idx="1">
                  <c:v>0.30734374999999997</c:v>
                </c:pt>
                <c:pt idx="2">
                  <c:v>0.32418749999999996</c:v>
                </c:pt>
                <c:pt idx="3">
                  <c:v>0.34103124999999995</c:v>
                </c:pt>
                <c:pt idx="4">
                  <c:v>0.35787499999999994</c:v>
                </c:pt>
                <c:pt idx="5">
                  <c:v>0.37471874999999993</c:v>
                </c:pt>
                <c:pt idx="6">
                  <c:v>0.39156249999999992</c:v>
                </c:pt>
                <c:pt idx="7">
                  <c:v>0.40840624999999992</c:v>
                </c:pt>
                <c:pt idx="8">
                  <c:v>0.42524999999999991</c:v>
                </c:pt>
                <c:pt idx="9">
                  <c:v>0.4420937499999999</c:v>
                </c:pt>
                <c:pt idx="10">
                  <c:v>0.45893749999999989</c:v>
                </c:pt>
                <c:pt idx="11">
                  <c:v>0.47578124999999988</c:v>
                </c:pt>
                <c:pt idx="12">
                  <c:v>0.49262499999999987</c:v>
                </c:pt>
                <c:pt idx="13">
                  <c:v>0.50946874999999991</c:v>
                </c:pt>
                <c:pt idx="14">
                  <c:v>0.52631249999999996</c:v>
                </c:pt>
                <c:pt idx="15">
                  <c:v>0.54315625000000001</c:v>
                </c:pt>
                <c:pt idx="16">
                  <c:v>0.56000000000000005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A43-472E-A46C-759FAD081B1B}"/>
            </c:ext>
          </c:extLst>
        </c:ser>
        <c:ser>
          <c:idx val="1"/>
          <c:order val="1"/>
          <c:tx>
            <c:strRef>
              <c:f>'EST Scenario projections'!$K$3</c:f>
              <c:strCache>
                <c:ptCount val="1"/>
                <c:pt idx="0">
                  <c:v>Industry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'EST Scenario projections'!$I$5:$I$31</c:f>
              <c:numCache>
                <c:formatCode>General</c:formatCode>
                <c:ptCount val="1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</c:numCache>
            </c:numRef>
          </c:xVal>
          <c:yVal>
            <c:numRef>
              <c:f>'EST Scenario projections'!$K$5:$K$31</c:f>
              <c:numCache>
                <c:formatCode>0%</c:formatCode>
                <c:ptCount val="17"/>
                <c:pt idx="0">
                  <c:v>0.313</c:v>
                </c:pt>
                <c:pt idx="1">
                  <c:v>0.32343749999999999</c:v>
                </c:pt>
                <c:pt idx="2">
                  <c:v>0.33387499999999998</c:v>
                </c:pt>
                <c:pt idx="3">
                  <c:v>0.34431249999999997</c:v>
                </c:pt>
                <c:pt idx="4">
                  <c:v>0.35474999999999995</c:v>
                </c:pt>
                <c:pt idx="5">
                  <c:v>0.36518749999999994</c:v>
                </c:pt>
                <c:pt idx="6">
                  <c:v>0.37562499999999993</c:v>
                </c:pt>
                <c:pt idx="7">
                  <c:v>0.38606249999999992</c:v>
                </c:pt>
                <c:pt idx="8">
                  <c:v>0.39649999999999991</c:v>
                </c:pt>
                <c:pt idx="9">
                  <c:v>0.4069374999999999</c:v>
                </c:pt>
                <c:pt idx="10">
                  <c:v>0.41737499999999988</c:v>
                </c:pt>
                <c:pt idx="11">
                  <c:v>0.42781249999999987</c:v>
                </c:pt>
                <c:pt idx="12">
                  <c:v>0.43824999999999986</c:v>
                </c:pt>
                <c:pt idx="13">
                  <c:v>0.44868749999999985</c:v>
                </c:pt>
                <c:pt idx="14">
                  <c:v>0.45912499999999984</c:v>
                </c:pt>
                <c:pt idx="15">
                  <c:v>0.46956249999999983</c:v>
                </c:pt>
                <c:pt idx="16">
                  <c:v>0.48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A43-472E-A46C-759FAD081B1B}"/>
            </c:ext>
          </c:extLst>
        </c:ser>
        <c:ser>
          <c:idx val="2"/>
          <c:order val="2"/>
          <c:tx>
            <c:strRef>
              <c:f>'EST Scenario projections'!$L$3</c:f>
              <c:strCache>
                <c:ptCount val="1"/>
                <c:pt idx="0">
                  <c:v>Transport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'EST Scenario projections'!$I$5:$I$31</c:f>
              <c:numCache>
                <c:formatCode>General</c:formatCode>
                <c:ptCount val="1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</c:numCache>
            </c:numRef>
          </c:xVal>
          <c:yVal>
            <c:numRef>
              <c:f>'EST Scenario projections'!$L$5:$L$31</c:f>
              <c:numCache>
                <c:formatCode>0%</c:formatCode>
                <c:ptCount val="17"/>
                <c:pt idx="0">
                  <c:v>6.0000000000000001E-3</c:v>
                </c:pt>
                <c:pt idx="1">
                  <c:v>2.4375000000000001E-2</c:v>
                </c:pt>
                <c:pt idx="2">
                  <c:v>4.2749999999999996E-2</c:v>
                </c:pt>
                <c:pt idx="3">
                  <c:v>6.1124999999999999E-2</c:v>
                </c:pt>
                <c:pt idx="4">
                  <c:v>7.9500000000000001E-2</c:v>
                </c:pt>
                <c:pt idx="5">
                  <c:v>9.7875000000000004E-2</c:v>
                </c:pt>
                <c:pt idx="6">
                  <c:v>0.11625000000000001</c:v>
                </c:pt>
                <c:pt idx="7">
                  <c:v>0.13462499999999999</c:v>
                </c:pt>
                <c:pt idx="8">
                  <c:v>0.153</c:v>
                </c:pt>
                <c:pt idx="9">
                  <c:v>0.171375</c:v>
                </c:pt>
                <c:pt idx="10">
                  <c:v>0.18975</c:v>
                </c:pt>
                <c:pt idx="11">
                  <c:v>0.208125</c:v>
                </c:pt>
                <c:pt idx="12">
                  <c:v>0.22650000000000001</c:v>
                </c:pt>
                <c:pt idx="13">
                  <c:v>0.24487500000000001</c:v>
                </c:pt>
                <c:pt idx="14">
                  <c:v>0.26324999999999998</c:v>
                </c:pt>
                <c:pt idx="15">
                  <c:v>0.28162499999999996</c:v>
                </c:pt>
                <c:pt idx="16">
                  <c:v>0.3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A43-472E-A46C-759FAD081B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56463"/>
        <c:axId val="3649263"/>
      </c:scatterChart>
      <c:valAx>
        <c:axId val="365646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49263"/>
        <c:crosses val="autoZero"/>
        <c:crossBetween val="midCat"/>
      </c:valAx>
      <c:valAx>
        <c:axId val="3649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Electrification of FEC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56463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SEI Estonia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'EST Scenario projections'!$X$3</c:f>
              <c:strCache>
                <c:ptCount val="1"/>
                <c:pt idx="0">
                  <c:v>Buildings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'EST Scenario projections'!$W$4:$W$30</c:f>
              <c:numCache>
                <c:formatCode>General</c:formatCode>
                <c:ptCount val="18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</c:numCache>
            </c:numRef>
          </c:xVal>
          <c:yVal>
            <c:numRef>
              <c:f>'EST Scenario projections'!$X$4:$X$30</c:f>
              <c:numCache>
                <c:formatCode>0%</c:formatCode>
                <c:ptCount val="18"/>
                <c:pt idx="0">
                  <c:v>0.29049754422154289</c:v>
                </c:pt>
                <c:pt idx="1">
                  <c:v>0.29641494668183155</c:v>
                </c:pt>
                <c:pt idx="2">
                  <c:v>0.29844591796663367</c:v>
                </c:pt>
                <c:pt idx="3">
                  <c:v>0.30115596804521289</c:v>
                </c:pt>
                <c:pt idx="4">
                  <c:v>0.30475796156554874</c:v>
                </c:pt>
                <c:pt idx="5">
                  <c:v>0.30952051611832676</c:v>
                </c:pt>
                <c:pt idx="6">
                  <c:v>0.31577425879724602</c:v>
                </c:pt>
                <c:pt idx="7">
                  <c:v>0.32391209448724106</c:v>
                </c:pt>
                <c:pt idx="8">
                  <c:v>0.33437781860723914</c:v>
                </c:pt>
                <c:pt idx="9">
                  <c:v>0.34763559692382923</c:v>
                </c:pt>
                <c:pt idx="10">
                  <c:v>0.36411267314776413</c:v>
                </c:pt>
                <c:pt idx="11">
                  <c:v>0.38411164334622133</c:v>
                </c:pt>
                <c:pt idx="12">
                  <c:v>0.40769940417048112</c:v>
                </c:pt>
                <c:pt idx="13">
                  <c:v>0.43459745580297221</c:v>
                </c:pt>
                <c:pt idx="14">
                  <c:v>0.46411591226196791</c:v>
                </c:pt>
                <c:pt idx="15">
                  <c:v>0.49517693073234337</c:v>
                </c:pt>
                <c:pt idx="16">
                  <c:v>0.52644881069516736</c:v>
                </c:pt>
                <c:pt idx="17">
                  <c:v>0.55656369240775128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725-4043-8447-554D643DCB0D}"/>
            </c:ext>
          </c:extLst>
        </c:ser>
        <c:ser>
          <c:idx val="1"/>
          <c:order val="1"/>
          <c:tx>
            <c:strRef>
              <c:f>'EST Scenario projections'!$Y$3</c:f>
              <c:strCache>
                <c:ptCount val="1"/>
                <c:pt idx="0">
                  <c:v>Industry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'EST Scenario projections'!$W$4:$W$30</c:f>
              <c:numCache>
                <c:formatCode>General</c:formatCode>
                <c:ptCount val="18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</c:numCache>
            </c:numRef>
          </c:xVal>
          <c:yVal>
            <c:numRef>
              <c:f>'EST Scenario projections'!$Y$4:$Y$30</c:f>
              <c:numCache>
                <c:formatCode>0%</c:formatCode>
                <c:ptCount val="18"/>
                <c:pt idx="0">
                  <c:v>0.31407251851771661</c:v>
                </c:pt>
                <c:pt idx="1">
                  <c:v>0.31808283455222419</c:v>
                </c:pt>
                <c:pt idx="2">
                  <c:v>0.3194554574842669</c:v>
                </c:pt>
                <c:pt idx="3">
                  <c:v>0.32128402107907256</c:v>
                </c:pt>
                <c:pt idx="4">
                  <c:v>0.32370909544886228</c:v>
                </c:pt>
                <c:pt idx="5">
                  <c:v>0.32690625267366585</c:v>
                </c:pt>
                <c:pt idx="6">
                  <c:v>0.33108850189642047</c:v>
                </c:pt>
                <c:pt idx="7">
                  <c:v>0.33650380397873481</c:v>
                </c:pt>
                <c:pt idx="8">
                  <c:v>0.34342376900327115</c:v>
                </c:pt>
                <c:pt idx="9">
                  <c:v>0.35211886422465716</c:v>
                </c:pt>
                <c:pt idx="10">
                  <c:v>0.36281626590237592</c:v>
                </c:pt>
                <c:pt idx="11">
                  <c:v>0.37564051817684257</c:v>
                </c:pt>
                <c:pt idx="12">
                  <c:v>0.39054555821202569</c:v>
                </c:pt>
                <c:pt idx="13">
                  <c:v>0.40725791112498305</c:v>
                </c:pt>
                <c:pt idx="14">
                  <c:v>0.42525870877318661</c:v>
                </c:pt>
                <c:pt idx="15">
                  <c:v>0.443827299051129</c:v>
                </c:pt>
                <c:pt idx="16">
                  <c:v>0.4621470760538301</c:v>
                </c:pt>
                <c:pt idx="17">
                  <c:v>0.4794440094341243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725-4043-8447-554D643DCB0D}"/>
            </c:ext>
          </c:extLst>
        </c:ser>
        <c:ser>
          <c:idx val="2"/>
          <c:order val="2"/>
          <c:tx>
            <c:strRef>
              <c:f>'EST Scenario projections'!$Z$3</c:f>
              <c:strCache>
                <c:ptCount val="1"/>
                <c:pt idx="0">
                  <c:v>Transport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'EST Scenario projections'!$W$4:$W$30</c:f>
              <c:numCache>
                <c:formatCode>General</c:formatCode>
                <c:ptCount val="18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</c:numCache>
            </c:numRef>
          </c:xVal>
          <c:yVal>
            <c:numRef>
              <c:f>'EST Scenario projections'!$Z$4:$Z$30</c:f>
              <c:numCache>
                <c:formatCode>0%</c:formatCode>
                <c:ptCount val="18"/>
                <c:pt idx="0">
                  <c:v>5.8443690187284731E-3</c:v>
                </c:pt>
                <c:pt idx="1">
                  <c:v>1.2256408657853868E-2</c:v>
                </c:pt>
                <c:pt idx="2">
                  <c:v>1.446763219789741E-2</c:v>
                </c:pt>
                <c:pt idx="3">
                  <c:v>1.7426602654265377E-2</c:v>
                </c:pt>
                <c:pt idx="4">
                  <c:v>2.1374381360206543E-2</c:v>
                </c:pt>
                <c:pt idx="5">
                  <c:v>2.662048903458876E-2</c:v>
                </c:pt>
                <c:pt idx="6">
                  <c:v>3.3555185217709352E-2</c:v>
                </c:pt>
                <c:pt idx="7">
                  <c:v>4.2658261677739361E-2</c:v>
                </c:pt>
                <c:pt idx="8">
                  <c:v>5.4498960166694442E-2</c:v>
                </c:pt>
                <c:pt idx="9">
                  <c:v>6.9718751451738656E-2</c:v>
                </c:pt>
                <c:pt idx="10">
                  <c:v>8.8986155056844513E-2</c:v>
                </c:pt>
                <c:pt idx="11">
                  <c:v>0.11291269872038087</c:v>
                </c:pt>
                <c:pt idx="12">
                  <c:v>0.14192513159814646</c:v>
                </c:pt>
                <c:pt idx="13">
                  <c:v>0.17610486748658319</c:v>
                </c:pt>
                <c:pt idx="14">
                  <c:v>0.21503112721208587</c:v>
                </c:pt>
                <c:pt idx="15">
                  <c:v>0.25768933493321905</c:v>
                </c:pt>
                <c:pt idx="16">
                  <c:v>0.30251005568366718</c:v>
                </c:pt>
                <c:pt idx="17">
                  <c:v>0.34756716116350567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725-4043-8447-554D643DCB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998367"/>
        <c:axId val="104003647"/>
      </c:scatterChart>
      <c:valAx>
        <c:axId val="103998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003647"/>
        <c:crosses val="autoZero"/>
        <c:crossBetween val="midCat"/>
      </c:valAx>
      <c:valAx>
        <c:axId val="1040036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Electrification of FEC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99836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JRC Latvia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'LAT Scenario projections '!$Q$3</c:f>
              <c:strCache>
                <c:ptCount val="1"/>
                <c:pt idx="0">
                  <c:v>Buildings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'LAT Scenario projections '!$P$4:$P$31</c:f>
              <c:numCache>
                <c:formatCode>General</c:formatCode>
                <c:ptCount val="18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</c:numCache>
            </c:numRef>
          </c:xVal>
          <c:yVal>
            <c:numRef>
              <c:f>'LAT Scenario projections '!$Q$4:$Q$31</c:f>
              <c:numCache>
                <c:formatCode>0%</c:formatCode>
                <c:ptCount val="18"/>
                <c:pt idx="0">
                  <c:v>0.23</c:v>
                </c:pt>
                <c:pt idx="1">
                  <c:v>0.24941176470588236</c:v>
                </c:pt>
                <c:pt idx="2">
                  <c:v>0.25922657952069716</c:v>
                </c:pt>
                <c:pt idx="3">
                  <c:v>0.269041394335512</c:v>
                </c:pt>
                <c:pt idx="4">
                  <c:v>0.27885620915032683</c:v>
                </c:pt>
                <c:pt idx="5">
                  <c:v>0.28867102396514166</c:v>
                </c:pt>
                <c:pt idx="6">
                  <c:v>0.29848583877995649</c:v>
                </c:pt>
                <c:pt idx="7">
                  <c:v>0.30830065359477132</c:v>
                </c:pt>
                <c:pt idx="8">
                  <c:v>0.31811546840958616</c:v>
                </c:pt>
                <c:pt idx="9">
                  <c:v>0.32793028322440099</c:v>
                </c:pt>
                <c:pt idx="10">
                  <c:v>0.33774509803921582</c:v>
                </c:pt>
                <c:pt idx="11">
                  <c:v>0.34755991285403065</c:v>
                </c:pt>
                <c:pt idx="12">
                  <c:v>0.35737472766884548</c:v>
                </c:pt>
                <c:pt idx="13">
                  <c:v>0.36718954248366031</c:v>
                </c:pt>
                <c:pt idx="14">
                  <c:v>0.37700435729847515</c:v>
                </c:pt>
                <c:pt idx="15">
                  <c:v>0.38681917211328998</c:v>
                </c:pt>
                <c:pt idx="16">
                  <c:v>0.39663398692810481</c:v>
                </c:pt>
                <c:pt idx="17">
                  <c:v>0.40644880174291964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CC8-4AD9-B0B8-21C8871E98AF}"/>
            </c:ext>
          </c:extLst>
        </c:ser>
        <c:ser>
          <c:idx val="1"/>
          <c:order val="1"/>
          <c:tx>
            <c:strRef>
              <c:f>'LAT Scenario projections '!$R$3</c:f>
              <c:strCache>
                <c:ptCount val="1"/>
                <c:pt idx="0">
                  <c:v>Industry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'LAT Scenario projections '!$P$4:$P$31</c:f>
              <c:numCache>
                <c:formatCode>General</c:formatCode>
                <c:ptCount val="18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</c:numCache>
            </c:numRef>
          </c:xVal>
          <c:yVal>
            <c:numRef>
              <c:f>'LAT Scenario projections '!$R$4:$R$31</c:f>
              <c:numCache>
                <c:formatCode>0%</c:formatCode>
                <c:ptCount val="18"/>
                <c:pt idx="0">
                  <c:v>0.16300000000000001</c:v>
                </c:pt>
                <c:pt idx="1">
                  <c:v>0.16600000000000001</c:v>
                </c:pt>
                <c:pt idx="2">
                  <c:v>0.17884615384615385</c:v>
                </c:pt>
                <c:pt idx="3">
                  <c:v>0.19169230769230769</c:v>
                </c:pt>
                <c:pt idx="4">
                  <c:v>0.20453846153846153</c:v>
                </c:pt>
                <c:pt idx="5">
                  <c:v>0.21738461538461537</c:v>
                </c:pt>
                <c:pt idx="6">
                  <c:v>0.23023076923076921</c:v>
                </c:pt>
                <c:pt idx="7">
                  <c:v>0.24307692307692305</c:v>
                </c:pt>
                <c:pt idx="8">
                  <c:v>0.25592307692307692</c:v>
                </c:pt>
                <c:pt idx="9">
                  <c:v>0.26876923076923076</c:v>
                </c:pt>
                <c:pt idx="10">
                  <c:v>0.2816153846153846</c:v>
                </c:pt>
                <c:pt idx="11">
                  <c:v>0.29446153846153844</c:v>
                </c:pt>
                <c:pt idx="12">
                  <c:v>0.30730769230769228</c:v>
                </c:pt>
                <c:pt idx="13">
                  <c:v>0.32015384615384612</c:v>
                </c:pt>
                <c:pt idx="14">
                  <c:v>0.33299999999999996</c:v>
                </c:pt>
                <c:pt idx="15">
                  <c:v>0.3458461538461538</c:v>
                </c:pt>
                <c:pt idx="16">
                  <c:v>0.35869230769230764</c:v>
                </c:pt>
                <c:pt idx="17">
                  <c:v>0.37153846153846148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CC8-4AD9-B0B8-21C8871E98AF}"/>
            </c:ext>
          </c:extLst>
        </c:ser>
        <c:ser>
          <c:idx val="2"/>
          <c:order val="2"/>
          <c:tx>
            <c:strRef>
              <c:f>'LAT Scenario projections '!$S$3</c:f>
              <c:strCache>
                <c:ptCount val="1"/>
                <c:pt idx="0">
                  <c:v>Transport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'LAT Scenario projections '!$P$4:$P$31</c:f>
              <c:numCache>
                <c:formatCode>General</c:formatCode>
                <c:ptCount val="18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</c:numCache>
            </c:numRef>
          </c:xVal>
          <c:yVal>
            <c:numRef>
              <c:f>'LAT Scenario projections '!$S$4:$S$31</c:f>
              <c:numCache>
                <c:formatCode>0%</c:formatCode>
                <c:ptCount val="18"/>
                <c:pt idx="0">
                  <c:v>8.9999999999999993E-3</c:v>
                </c:pt>
                <c:pt idx="1">
                  <c:v>1.0999999999999999E-2</c:v>
                </c:pt>
                <c:pt idx="2">
                  <c:v>2.5000000000000001E-2</c:v>
                </c:pt>
                <c:pt idx="3">
                  <c:v>3.9E-2</c:v>
                </c:pt>
                <c:pt idx="4">
                  <c:v>5.2999999999999999E-2</c:v>
                </c:pt>
                <c:pt idx="5">
                  <c:v>6.7000000000000004E-2</c:v>
                </c:pt>
                <c:pt idx="6">
                  <c:v>8.1000000000000003E-2</c:v>
                </c:pt>
                <c:pt idx="7">
                  <c:v>9.5000000000000001E-2</c:v>
                </c:pt>
                <c:pt idx="8">
                  <c:v>0.109</c:v>
                </c:pt>
                <c:pt idx="9">
                  <c:v>0.123</c:v>
                </c:pt>
                <c:pt idx="10">
                  <c:v>0.13700000000000001</c:v>
                </c:pt>
                <c:pt idx="11">
                  <c:v>0.15100000000000002</c:v>
                </c:pt>
                <c:pt idx="12">
                  <c:v>0.16500000000000004</c:v>
                </c:pt>
                <c:pt idx="13">
                  <c:v>0.17900000000000005</c:v>
                </c:pt>
                <c:pt idx="14">
                  <c:v>0.19300000000000006</c:v>
                </c:pt>
                <c:pt idx="15">
                  <c:v>0.20700000000000007</c:v>
                </c:pt>
                <c:pt idx="16">
                  <c:v>0.22100000000000009</c:v>
                </c:pt>
                <c:pt idx="17">
                  <c:v>0.2350000000000001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CC8-4AD9-B0B8-21C8871E98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9195744"/>
        <c:axId val="519196224"/>
      </c:scatterChart>
      <c:valAx>
        <c:axId val="5191957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9196224"/>
        <c:crosses val="autoZero"/>
        <c:crossBetween val="midCat"/>
      </c:valAx>
      <c:valAx>
        <c:axId val="519196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Electrification of FEC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919574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Eurelectric Latvia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'LAT Scenario projections '!$J$3</c:f>
              <c:strCache>
                <c:ptCount val="1"/>
                <c:pt idx="0">
                  <c:v>Buildings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'LAT Scenario projections '!$I$5:$I$31</c:f>
              <c:numCache>
                <c:formatCode>General</c:formatCode>
                <c:ptCount val="1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</c:numCache>
            </c:numRef>
          </c:xVal>
          <c:yVal>
            <c:numRef>
              <c:f>'LAT Scenario projections '!$J$5:$J$31</c:f>
              <c:numCache>
                <c:formatCode>0%</c:formatCode>
                <c:ptCount val="17"/>
                <c:pt idx="0">
                  <c:v>0.24941176470588236</c:v>
                </c:pt>
                <c:pt idx="1">
                  <c:v>0.26882352941176474</c:v>
                </c:pt>
                <c:pt idx="2">
                  <c:v>0.28823529411764709</c:v>
                </c:pt>
                <c:pt idx="3">
                  <c:v>0.30764705882352944</c:v>
                </c:pt>
                <c:pt idx="4">
                  <c:v>0.32705882352941179</c:v>
                </c:pt>
                <c:pt idx="5">
                  <c:v>0.34647058823529414</c:v>
                </c:pt>
                <c:pt idx="6">
                  <c:v>0.36588235294117649</c:v>
                </c:pt>
                <c:pt idx="7">
                  <c:v>0.38529411764705884</c:v>
                </c:pt>
                <c:pt idx="8">
                  <c:v>0.40470588235294119</c:v>
                </c:pt>
                <c:pt idx="9">
                  <c:v>0.42411764705882354</c:v>
                </c:pt>
                <c:pt idx="10">
                  <c:v>0.44352941176470589</c:v>
                </c:pt>
                <c:pt idx="11">
                  <c:v>0.46294117647058824</c:v>
                </c:pt>
                <c:pt idx="12">
                  <c:v>0.4823529411764706</c:v>
                </c:pt>
                <c:pt idx="13">
                  <c:v>0.501764705882353</c:v>
                </c:pt>
                <c:pt idx="14">
                  <c:v>0.52117647058823535</c:v>
                </c:pt>
                <c:pt idx="15">
                  <c:v>0.5405882352941177</c:v>
                </c:pt>
                <c:pt idx="16">
                  <c:v>0.56000000000000005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3FE-41B8-B3BB-7A816B75D611}"/>
            </c:ext>
          </c:extLst>
        </c:ser>
        <c:ser>
          <c:idx val="1"/>
          <c:order val="1"/>
          <c:tx>
            <c:strRef>
              <c:f>'LAT Scenario projections '!$K$3</c:f>
              <c:strCache>
                <c:ptCount val="1"/>
                <c:pt idx="0">
                  <c:v>Industry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'LAT Scenario projections '!$I$5:$I$31</c:f>
              <c:numCache>
                <c:formatCode>General</c:formatCode>
                <c:ptCount val="1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</c:numCache>
            </c:numRef>
          </c:xVal>
          <c:yVal>
            <c:numRef>
              <c:f>'LAT Scenario projections '!$K$5:$K$31</c:f>
              <c:numCache>
                <c:formatCode>0%</c:formatCode>
                <c:ptCount val="17"/>
                <c:pt idx="0">
                  <c:v>0.16600000000000001</c:v>
                </c:pt>
                <c:pt idx="1">
                  <c:v>0.18562500000000001</c:v>
                </c:pt>
                <c:pt idx="2">
                  <c:v>0.20525000000000002</c:v>
                </c:pt>
                <c:pt idx="3">
                  <c:v>0.22487500000000002</c:v>
                </c:pt>
                <c:pt idx="4">
                  <c:v>0.24450000000000002</c:v>
                </c:pt>
                <c:pt idx="5">
                  <c:v>0.264125</c:v>
                </c:pt>
                <c:pt idx="6">
                  <c:v>0.28375</c:v>
                </c:pt>
                <c:pt idx="7">
                  <c:v>0.30337500000000001</c:v>
                </c:pt>
                <c:pt idx="8">
                  <c:v>0.32300000000000001</c:v>
                </c:pt>
                <c:pt idx="9">
                  <c:v>0.34262500000000001</c:v>
                </c:pt>
                <c:pt idx="10">
                  <c:v>0.36225000000000002</c:v>
                </c:pt>
                <c:pt idx="11">
                  <c:v>0.38187500000000002</c:v>
                </c:pt>
                <c:pt idx="12">
                  <c:v>0.40150000000000002</c:v>
                </c:pt>
                <c:pt idx="13">
                  <c:v>0.42112500000000003</c:v>
                </c:pt>
                <c:pt idx="14">
                  <c:v>0.44075000000000003</c:v>
                </c:pt>
                <c:pt idx="15">
                  <c:v>0.46037500000000003</c:v>
                </c:pt>
                <c:pt idx="16">
                  <c:v>0.48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3FE-41B8-B3BB-7A816B75D611}"/>
            </c:ext>
          </c:extLst>
        </c:ser>
        <c:ser>
          <c:idx val="2"/>
          <c:order val="2"/>
          <c:tx>
            <c:strRef>
              <c:f>'LAT Scenario projections '!$L$3</c:f>
              <c:strCache>
                <c:ptCount val="1"/>
                <c:pt idx="0">
                  <c:v>Transport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'LAT Scenario projections '!$I$5:$I$31</c:f>
              <c:numCache>
                <c:formatCode>General</c:formatCode>
                <c:ptCount val="1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</c:numCache>
            </c:numRef>
          </c:xVal>
          <c:yVal>
            <c:numRef>
              <c:f>'LAT Scenario projections '!$L$5:$L$31</c:f>
              <c:numCache>
                <c:formatCode>0%</c:formatCode>
                <c:ptCount val="17"/>
                <c:pt idx="0">
                  <c:v>1.0999999999999999E-2</c:v>
                </c:pt>
                <c:pt idx="1">
                  <c:v>2.9062499999999998E-2</c:v>
                </c:pt>
                <c:pt idx="2">
                  <c:v>4.7125E-2</c:v>
                </c:pt>
                <c:pt idx="3">
                  <c:v>6.5187499999999995E-2</c:v>
                </c:pt>
                <c:pt idx="4">
                  <c:v>8.3249999999999991E-2</c:v>
                </c:pt>
                <c:pt idx="5">
                  <c:v>0.10131249999999999</c:v>
                </c:pt>
                <c:pt idx="6">
                  <c:v>0.11937499999999998</c:v>
                </c:pt>
                <c:pt idx="7">
                  <c:v>0.13743749999999999</c:v>
                </c:pt>
                <c:pt idx="8">
                  <c:v>0.1555</c:v>
                </c:pt>
                <c:pt idx="9">
                  <c:v>0.17356250000000001</c:v>
                </c:pt>
                <c:pt idx="10">
                  <c:v>0.19162500000000002</c:v>
                </c:pt>
                <c:pt idx="11">
                  <c:v>0.20968750000000003</c:v>
                </c:pt>
                <c:pt idx="12">
                  <c:v>0.22775000000000004</c:v>
                </c:pt>
                <c:pt idx="13">
                  <c:v>0.24581250000000004</c:v>
                </c:pt>
                <c:pt idx="14">
                  <c:v>0.26387500000000003</c:v>
                </c:pt>
                <c:pt idx="15">
                  <c:v>0.28193750000000001</c:v>
                </c:pt>
                <c:pt idx="16">
                  <c:v>0.3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3FE-41B8-B3BB-7A816B75D6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1720896"/>
        <c:axId val="481713696"/>
      </c:scatterChart>
      <c:valAx>
        <c:axId val="4817208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713696"/>
        <c:crosses val="autoZero"/>
        <c:crossBetween val="midCat"/>
      </c:valAx>
      <c:valAx>
        <c:axId val="481713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Electrification of FEC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72089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SEI Latvia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'LAT Scenario projections '!$X$3</c:f>
              <c:strCache>
                <c:ptCount val="1"/>
                <c:pt idx="0">
                  <c:v>Buildings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'LAT Scenario projections '!$W$4:$W$30</c:f>
              <c:numCache>
                <c:formatCode>General</c:formatCode>
                <c:ptCount val="18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</c:numCache>
            </c:numRef>
          </c:xVal>
          <c:yVal>
            <c:numRef>
              <c:f>'LAT Scenario projections '!$X$4:$X$30</c:f>
              <c:numCache>
                <c:formatCode>0%</c:formatCode>
                <c:ptCount val="18"/>
                <c:pt idx="0">
                  <c:v>0.2466855983256683</c:v>
                </c:pt>
                <c:pt idx="1">
                  <c:v>0.25402911198604222</c:v>
                </c:pt>
                <c:pt idx="2">
                  <c:v>0.25654220097836844</c:v>
                </c:pt>
                <c:pt idx="3">
                  <c:v>0.25988974148180516</c:v>
                </c:pt>
                <c:pt idx="4">
                  <c:v>0.26432875595266897</c:v>
                </c:pt>
                <c:pt idx="5">
                  <c:v>0.27018007480023365</c:v>
                </c:pt>
                <c:pt idx="6">
                  <c:v>0.27783261362310308</c:v>
                </c:pt>
                <c:pt idx="7">
                  <c:v>0.28773855837417384</c:v>
                </c:pt>
                <c:pt idx="8">
                  <c:v>0.30039232438872221</c:v>
                </c:pt>
                <c:pt idx="9">
                  <c:v>0.31628478495964657</c:v>
                </c:pt>
                <c:pt idx="10">
                  <c:v>0.33582583530120624</c:v>
                </c:pt>
                <c:pt idx="11">
                  <c:v>0.35923586216816661</c:v>
                </c:pt>
                <c:pt idx="12">
                  <c:v>0.38642214179556317</c:v>
                </c:pt>
                <c:pt idx="13">
                  <c:v>0.41687665417324477</c:v>
                </c:pt>
                <c:pt idx="14">
                  <c:v>0.44964571667794828</c:v>
                </c:pt>
                <c:pt idx="15">
                  <c:v>0.48341221547945562</c:v>
                </c:pt>
                <c:pt idx="16">
                  <c:v>0.51669029876481387</c:v>
                </c:pt>
                <c:pt idx="17">
                  <c:v>0.54807764961944394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B9E-424C-9C0E-8DC5310C0E5D}"/>
            </c:ext>
          </c:extLst>
        </c:ser>
        <c:ser>
          <c:idx val="1"/>
          <c:order val="1"/>
          <c:tx>
            <c:strRef>
              <c:f>'LAT Scenario projections '!$Y$3</c:f>
              <c:strCache>
                <c:ptCount val="1"/>
                <c:pt idx="0">
                  <c:v>Industry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'LAT Scenario projections '!$W$4:$W$30</c:f>
              <c:numCache>
                <c:formatCode>General</c:formatCode>
                <c:ptCount val="18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</c:numCache>
            </c:numRef>
          </c:xVal>
          <c:yVal>
            <c:numRef>
              <c:f>'LAT Scenario projections '!$Y$4:$Y$30</c:f>
              <c:numCache>
                <c:formatCode>0%</c:formatCode>
                <c:ptCount val="18"/>
                <c:pt idx="0">
                  <c:v>0.16186136825192188</c:v>
                </c:pt>
                <c:pt idx="1">
                  <c:v>0.16619307836408981</c:v>
                </c:pt>
                <c:pt idx="2">
                  <c:v>0.16767124433711486</c:v>
                </c:pt>
                <c:pt idx="3">
                  <c:v>0.16963688866228799</c:v>
                </c:pt>
                <c:pt idx="4">
                  <c:v>0.17223757790076338</c:v>
                </c:pt>
                <c:pt idx="5">
                  <c:v>0.17565552992079606</c:v>
                </c:pt>
                <c:pt idx="6">
                  <c:v>0.18010827906334148</c:v>
                </c:pt>
                <c:pt idx="7">
                  <c:v>0.18584319113525918</c:v>
                </c:pt>
                <c:pt idx="8">
                  <c:v>0.19312170518073632</c:v>
                </c:pt>
                <c:pt idx="9">
                  <c:v>0.2021889237894689</c:v>
                </c:pt>
                <c:pt idx="10">
                  <c:v>0.21322607201950505</c:v>
                </c:pt>
                <c:pt idx="11">
                  <c:v>0.2262889346517806</c:v>
                </c:pt>
                <c:pt idx="12">
                  <c:v>0.24124495065888757</c:v>
                </c:pt>
                <c:pt idx="13">
                  <c:v>0.25773193127820498</c:v>
                </c:pt>
                <c:pt idx="14">
                  <c:v>0.27516462416027243</c:v>
                </c:pt>
                <c:pt idx="15">
                  <c:v>0.29280346997845658</c:v>
                </c:pt>
                <c:pt idx="16">
                  <c:v>0.30987360921377172</c:v>
                </c:pt>
                <c:pt idx="17">
                  <c:v>0.32569612155402827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B9E-424C-9C0E-8DC5310C0E5D}"/>
            </c:ext>
          </c:extLst>
        </c:ser>
        <c:ser>
          <c:idx val="2"/>
          <c:order val="2"/>
          <c:tx>
            <c:strRef>
              <c:f>'LAT Scenario projections '!$Z$3</c:f>
              <c:strCache>
                <c:ptCount val="1"/>
                <c:pt idx="0">
                  <c:v>Transport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'LAT Scenario projections '!$W$4:$W$30</c:f>
              <c:numCache>
                <c:formatCode>General</c:formatCode>
                <c:ptCount val="18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</c:numCache>
            </c:numRef>
          </c:xVal>
          <c:yVal>
            <c:numRef>
              <c:f>'LAT Scenario projections '!$Z$4:$Z$30</c:f>
              <c:numCache>
                <c:formatCode>0%</c:formatCode>
                <c:ptCount val="18"/>
                <c:pt idx="0">
                  <c:v>1.2176487726237395E-2</c:v>
                </c:pt>
                <c:pt idx="1">
                  <c:v>1.9652005046659721E-2</c:v>
                </c:pt>
                <c:pt idx="2">
                  <c:v>2.2224161036997345E-2</c:v>
                </c:pt>
                <c:pt idx="3">
                  <c:v>2.5661464857964462E-2</c:v>
                </c:pt>
                <c:pt idx="4">
                  <c:v>3.0239148784464199E-2</c:v>
                </c:pt>
                <c:pt idx="5">
                  <c:v>3.6307725433915042E-2</c:v>
                </c:pt>
                <c:pt idx="6">
                  <c:v>4.43041511201945E-2</c:v>
                </c:pt>
                <c:pt idx="7">
                  <c:v>5.4757133133948838E-2</c:v>
                </c:pt>
                <c:pt idx="8">
                  <c:v>6.8279753665085957E-2</c:v>
                </c:pt>
                <c:pt idx="9">
                  <c:v>8.5539657107876976E-2</c:v>
                </c:pt>
                <c:pt idx="10">
                  <c:v>0.10719532518506707</c:v>
                </c:pt>
                <c:pt idx="11">
                  <c:v>0.13378939678991963</c:v>
                </c:pt>
                <c:pt idx="12">
                  <c:v>0.16560062770006045</c:v>
                </c:pt>
                <c:pt idx="13">
                  <c:v>0.20247744432410447</c:v>
                </c:pt>
                <c:pt idx="14">
                  <c:v>0.24370364594293648</c:v>
                </c:pt>
                <c:pt idx="15">
                  <c:v>0.28796445165846424</c:v>
                </c:pt>
                <c:pt idx="16">
                  <c:v>0.33346592722097829</c:v>
                </c:pt>
                <c:pt idx="17">
                  <c:v>0.37820379883834299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B9E-424C-9C0E-8DC5310C0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4022367"/>
        <c:axId val="104014207"/>
      </c:scatterChart>
      <c:valAx>
        <c:axId val="104022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014207"/>
        <c:crosses val="autoZero"/>
        <c:crossBetween val="midCat"/>
      </c:valAx>
      <c:valAx>
        <c:axId val="1040142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Electrification</a:t>
                </a:r>
                <a:r>
                  <a:rPr lang="en-US" baseline="0"/>
                  <a:t> of FEC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02236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kern="1200" spc="0" baseline="0">
                <a:solidFill>
                  <a:srgbClr val="000000">
                    <a:lumMod val="65000"/>
                    <a:lumOff val="35000"/>
                  </a:srgbClr>
                </a:solidFill>
              </a:rPr>
              <a:t>% non electrified FEC (SEI)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'LIT Scenario projections '!$AF$3</c:f>
              <c:strCache>
                <c:ptCount val="1"/>
                <c:pt idx="0">
                  <c:v>Buildings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'LIT Scenario projections '!$AE$10:$AE$30</c:f>
            </c:numRef>
          </c:xVal>
          <c:yVal>
            <c:numRef>
              <c:f>'LIT Scenario projections '!$AF$10:$AF$30</c:f>
            </c:numRef>
          </c:yVal>
          <c:smooth val="1"/>
          <c:extLst>
            <c:ext xmlns:c16="http://schemas.microsoft.com/office/drawing/2014/chart" uri="{C3380CC4-5D6E-409C-BE32-E72D297353CC}">
              <c16:uniqueId val="{00000000-A35B-408A-B0C3-BD6E672886D0}"/>
            </c:ext>
          </c:extLst>
        </c:ser>
        <c:ser>
          <c:idx val="1"/>
          <c:order val="1"/>
          <c:tx>
            <c:strRef>
              <c:f>'LIT Scenario projections '!$AG$3</c:f>
              <c:strCache>
                <c:ptCount val="1"/>
                <c:pt idx="0">
                  <c:v>Industry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'LIT Scenario projections '!$AE$10:$AE$30</c:f>
            </c:numRef>
          </c:xVal>
          <c:yVal>
            <c:numRef>
              <c:f>'LIT Scenario projections '!$AG$10:$AG$30</c:f>
            </c:numRef>
          </c:yVal>
          <c:smooth val="1"/>
          <c:extLst>
            <c:ext xmlns:c16="http://schemas.microsoft.com/office/drawing/2014/chart" uri="{C3380CC4-5D6E-409C-BE32-E72D297353CC}">
              <c16:uniqueId val="{00000001-A35B-408A-B0C3-BD6E672886D0}"/>
            </c:ext>
          </c:extLst>
        </c:ser>
        <c:ser>
          <c:idx val="2"/>
          <c:order val="2"/>
          <c:tx>
            <c:strRef>
              <c:f>'LIT Scenario projections '!$AH$3</c:f>
              <c:strCache>
                <c:ptCount val="1"/>
                <c:pt idx="0">
                  <c:v>Transport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'LIT Scenario projections '!$AE$10:$AE$30</c:f>
            </c:numRef>
          </c:xVal>
          <c:yVal>
            <c:numRef>
              <c:f>'LIT Scenario projections '!$AH$10:$AH$30</c:f>
            </c:numRef>
          </c:yVal>
          <c:smooth val="1"/>
          <c:extLst>
            <c:ext xmlns:c16="http://schemas.microsoft.com/office/drawing/2014/chart" uri="{C3380CC4-5D6E-409C-BE32-E72D297353CC}">
              <c16:uniqueId val="{00000002-A35B-408A-B0C3-BD6E672886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83853391"/>
        <c:axId val="2083868751"/>
      </c:scatterChart>
      <c:valAx>
        <c:axId val="20838533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868751"/>
        <c:crosses val="autoZero"/>
        <c:crossBetween val="midCat"/>
      </c:valAx>
      <c:valAx>
        <c:axId val="20838687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85339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FEC Energy</a:t>
            </a:r>
            <a:r>
              <a:rPr lang="en-US" baseline="0"/>
              <a:t> </a:t>
            </a:r>
            <a:r>
              <a:rPr lang="en-US"/>
              <a:t>saved % Lithuania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'LIT Scenario projections '!$AJ$3</c:f>
              <c:strCache>
                <c:ptCount val="1"/>
                <c:pt idx="0">
                  <c:v>Buildings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'LIT Scenario projections '!$AE$4:$AE$30</c:f>
            </c:numRef>
          </c:xVal>
          <c:yVal>
            <c:numRef>
              <c:f>'LIT Scenario projections '!$AJ$4:$AJ$30</c:f>
              <c:numCache>
                <c:formatCode>0%</c:formatCode>
                <c:ptCount val="18"/>
                <c:pt idx="0">
                  <c:v>5.4973662594293505E-3</c:v>
                </c:pt>
                <c:pt idx="1">
                  <c:v>7.376475842159445E-3</c:v>
                </c:pt>
                <c:pt idx="2">
                  <c:v>9.8777949185462951E-3</c:v>
                </c:pt>
                <c:pt idx="3">
                  <c:v>1.3191623852342559E-2</c:v>
                </c:pt>
                <c:pt idx="4">
                  <c:v>1.7554464111441487E-2</c:v>
                </c:pt>
                <c:pt idx="5">
                  <c:v>2.3251234658004154E-2</c:v>
                </c:pt>
                <c:pt idx="6">
                  <c:v>3.0610249438698653E-2</c:v>
                </c:pt>
                <c:pt idx="7">
                  <c:v>3.9985639841592722E-2</c:v>
                </c:pt>
                <c:pt idx="8">
                  <c:v>5.1721162133045645E-2</c:v>
                </c:pt>
                <c:pt idx="9">
                  <c:v>6.6091020432391512E-2</c:v>
                </c:pt>
                <c:pt idx="10">
                  <c:v>8.3219607002537041E-2</c:v>
                </c:pt>
                <c:pt idx="11">
                  <c:v>0.10299397121819344</c:v>
                </c:pt>
                <c:pt idx="12">
                  <c:v>0.12499734721183982</c:v>
                </c:pt>
                <c:pt idx="13">
                  <c:v>0.14849991902846543</c:v>
                </c:pt>
                <c:pt idx="14">
                  <c:v>0.17253229096964856</c:v>
                </c:pt>
                <c:pt idx="15">
                  <c:v>0.19603486278627436</c:v>
                </c:pt>
                <c:pt idx="16">
                  <c:v>0.21803823877992062</c:v>
                </c:pt>
                <c:pt idx="17">
                  <c:v>0.23781260299557699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DD0-475C-9D3E-51487F1A8A60}"/>
            </c:ext>
          </c:extLst>
        </c:ser>
        <c:ser>
          <c:idx val="1"/>
          <c:order val="1"/>
          <c:tx>
            <c:strRef>
              <c:f>'LIT Scenario projections '!$AK$3</c:f>
              <c:strCache>
                <c:ptCount val="1"/>
                <c:pt idx="0">
                  <c:v>Industry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'LIT Scenario projections '!$AE$4:$AE$30</c:f>
            </c:numRef>
          </c:xVal>
          <c:yVal>
            <c:numRef>
              <c:f>'LIT Scenario projections '!$AK$4:$AK$30</c:f>
              <c:numCache>
                <c:formatCode>0%</c:formatCode>
                <c:ptCount val="18"/>
                <c:pt idx="0">
                  <c:v>2.7074356764240875E-3</c:v>
                </c:pt>
                <c:pt idx="1">
                  <c:v>3.6328912644463971E-3</c:v>
                </c:pt>
                <c:pt idx="2">
                  <c:v>4.864783080625555E-3</c:v>
                </c:pt>
                <c:pt idx="3">
                  <c:v>6.4968334584838867E-3</c:v>
                </c:pt>
                <c:pt idx="4">
                  <c:v>8.6455186307265487E-3</c:v>
                </c:pt>
                <c:pt idx="5">
                  <c:v>1.1451160294443536E-2</c:v>
                </c:pt>
                <c:pt idx="6">
                  <c:v>1.5075452040770083E-2</c:v>
                </c:pt>
                <c:pt idx="7">
                  <c:v>1.9692802469925878E-2</c:v>
                </c:pt>
                <c:pt idx="8">
                  <c:v>2.5472510467160335E-2</c:v>
                </c:pt>
                <c:pt idx="9">
                  <c:v>3.2549620703007529E-2</c:v>
                </c:pt>
                <c:pt idx="10">
                  <c:v>4.0985395977610792E-2</c:v>
                </c:pt>
                <c:pt idx="11">
                  <c:v>5.0724208461541992E-2</c:v>
                </c:pt>
                <c:pt idx="12">
                  <c:v>6.1560802269493696E-2</c:v>
                </c:pt>
                <c:pt idx="13">
                  <c:v>7.313574532789148E-2</c:v>
                </c:pt>
                <c:pt idx="14">
                  <c:v>8.4971613289399672E-2</c:v>
                </c:pt>
                <c:pt idx="15">
                  <c:v>9.6546556347797532E-2</c:v>
                </c:pt>
                <c:pt idx="16">
                  <c:v>0.10738315015574931</c:v>
                </c:pt>
                <c:pt idx="17">
                  <c:v>0.11712196263968049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DD0-475C-9D3E-51487F1A8A60}"/>
            </c:ext>
          </c:extLst>
        </c:ser>
        <c:ser>
          <c:idx val="2"/>
          <c:order val="2"/>
          <c:tx>
            <c:strRef>
              <c:f>'LIT Scenario projections '!$AL$3</c:f>
              <c:strCache>
                <c:ptCount val="1"/>
                <c:pt idx="0">
                  <c:v>Transport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'LIT Scenario projections '!$AE$4:$AE$30</c:f>
            </c:numRef>
          </c:xVal>
          <c:yVal>
            <c:numRef>
              <c:f>'LIT Scenario projections '!$AL$4:$AL$30</c:f>
              <c:numCache>
                <c:formatCode>0%</c:formatCode>
                <c:ptCount val="18"/>
                <c:pt idx="0">
                  <c:v>8.0875511757398794E-3</c:v>
                </c:pt>
                <c:pt idx="1">
                  <c:v>1.0892411759690962E-2</c:v>
                </c:pt>
                <c:pt idx="2">
                  <c:v>1.4626015882473777E-2</c:v>
                </c:pt>
                <c:pt idx="3">
                  <c:v>1.9572416158319832E-2</c:v>
                </c:pt>
                <c:pt idx="4">
                  <c:v>2.6084627468019914E-2</c:v>
                </c:pt>
                <c:pt idx="5">
                  <c:v>3.4587935262689204E-2</c:v>
                </c:pt>
                <c:pt idx="6">
                  <c:v>4.5572398694084498E-2</c:v>
                </c:pt>
                <c:pt idx="7">
                  <c:v>5.956661342318223E-2</c:v>
                </c:pt>
                <c:pt idx="8">
                  <c:v>7.7083688643218684E-2</c:v>
                </c:pt>
                <c:pt idx="9">
                  <c:v>9.8532916251454813E-2</c:v>
                </c:pt>
                <c:pt idx="10">
                  <c:v>0.12409997086654116</c:v>
                </c:pt>
                <c:pt idx="11">
                  <c:v>0.15361625627689102</c:v>
                </c:pt>
                <c:pt idx="12">
                  <c:v>0.18645968521027295</c:v>
                </c:pt>
                <c:pt idx="13">
                  <c:v>0.22154089490436354</c:v>
                </c:pt>
                <c:pt idx="14">
                  <c:v>0.25741291291554275</c:v>
                </c:pt>
                <c:pt idx="15">
                  <c:v>0.29249412260963364</c:v>
                </c:pt>
                <c:pt idx="16">
                  <c:v>0.32533755154301508</c:v>
                </c:pt>
                <c:pt idx="17">
                  <c:v>0.35485383695336503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DD0-475C-9D3E-51487F1A8A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13502975"/>
        <c:axId val="1213501535"/>
      </c:scatterChart>
      <c:valAx>
        <c:axId val="121350297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13501535"/>
        <c:crosses val="autoZero"/>
        <c:crossBetween val="midCat"/>
      </c:valAx>
      <c:valAx>
        <c:axId val="12135015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1350297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JRC Lithuania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'LIT Scenario projections '!$Q$3</c:f>
              <c:strCache>
                <c:ptCount val="1"/>
                <c:pt idx="0">
                  <c:v>Buildings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'LIT Scenario projections '!$P$5:$P$31</c:f>
              <c:numCache>
                <c:formatCode>General</c:formatCode>
                <c:ptCount val="1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</c:numCache>
            </c:numRef>
          </c:xVal>
          <c:yVal>
            <c:numRef>
              <c:f>'LIT Scenario projections '!$Q$5:$Q$31</c:f>
              <c:numCache>
                <c:formatCode>0%</c:formatCode>
                <c:ptCount val="17"/>
                <c:pt idx="0">
                  <c:v>0.27764705882352941</c:v>
                </c:pt>
                <c:pt idx="1">
                  <c:v>0.28635076252723313</c:v>
                </c:pt>
                <c:pt idx="2">
                  <c:v>0.29505446623093684</c:v>
                </c:pt>
                <c:pt idx="3">
                  <c:v>0.30375816993464055</c:v>
                </c:pt>
                <c:pt idx="4">
                  <c:v>0.31246187363834427</c:v>
                </c:pt>
                <c:pt idx="5">
                  <c:v>0.32116557734204798</c:v>
                </c:pt>
                <c:pt idx="6">
                  <c:v>0.32986928104575169</c:v>
                </c:pt>
                <c:pt idx="7">
                  <c:v>0.33857298474945541</c:v>
                </c:pt>
                <c:pt idx="8">
                  <c:v>0.34727668845315912</c:v>
                </c:pt>
                <c:pt idx="9">
                  <c:v>0.35598039215686283</c:v>
                </c:pt>
                <c:pt idx="10">
                  <c:v>0.36468409586056655</c:v>
                </c:pt>
                <c:pt idx="11">
                  <c:v>0.37338779956427026</c:v>
                </c:pt>
                <c:pt idx="12">
                  <c:v>0.38209150326797398</c:v>
                </c:pt>
                <c:pt idx="13">
                  <c:v>0.39079520697167769</c:v>
                </c:pt>
                <c:pt idx="14">
                  <c:v>0.3994989106753814</c:v>
                </c:pt>
                <c:pt idx="15">
                  <c:v>0.40820261437908512</c:v>
                </c:pt>
                <c:pt idx="16">
                  <c:v>0.41690631808278883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030-435B-BBF1-ABDCA49040F7}"/>
            </c:ext>
          </c:extLst>
        </c:ser>
        <c:ser>
          <c:idx val="1"/>
          <c:order val="1"/>
          <c:tx>
            <c:strRef>
              <c:f>'LIT Scenario projections '!$R$3</c:f>
              <c:strCache>
                <c:ptCount val="1"/>
                <c:pt idx="0">
                  <c:v>Industry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'LIT Scenario projections '!$P$5:$P$31</c:f>
              <c:numCache>
                <c:formatCode>General</c:formatCode>
                <c:ptCount val="1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</c:numCache>
            </c:numRef>
          </c:xVal>
          <c:yVal>
            <c:numRef>
              <c:f>'LIT Scenario projections '!$R$5:$R$31</c:f>
              <c:numCache>
                <c:formatCode>0%</c:formatCode>
                <c:ptCount val="17"/>
                <c:pt idx="0">
                  <c:v>0.311</c:v>
                </c:pt>
                <c:pt idx="1">
                  <c:v>0.31826923076923075</c:v>
                </c:pt>
                <c:pt idx="2">
                  <c:v>0.3255384615384615</c:v>
                </c:pt>
                <c:pt idx="3">
                  <c:v>0.33280769230769225</c:v>
                </c:pt>
                <c:pt idx="4">
                  <c:v>0.340076923076923</c:v>
                </c:pt>
                <c:pt idx="5">
                  <c:v>0.34734615384615375</c:v>
                </c:pt>
                <c:pt idx="6">
                  <c:v>0.3546153846153845</c:v>
                </c:pt>
                <c:pt idx="7">
                  <c:v>0.36188461538461525</c:v>
                </c:pt>
                <c:pt idx="8">
                  <c:v>0.369153846153846</c:v>
                </c:pt>
                <c:pt idx="9">
                  <c:v>0.37642307692307675</c:v>
                </c:pt>
                <c:pt idx="10">
                  <c:v>0.3836923076923075</c:v>
                </c:pt>
                <c:pt idx="11">
                  <c:v>0.39096153846153825</c:v>
                </c:pt>
                <c:pt idx="12">
                  <c:v>0.398230769230769</c:v>
                </c:pt>
                <c:pt idx="13">
                  <c:v>0.40549999999999975</c:v>
                </c:pt>
                <c:pt idx="14">
                  <c:v>0.4127692307692305</c:v>
                </c:pt>
                <c:pt idx="15">
                  <c:v>0.42003846153846125</c:v>
                </c:pt>
                <c:pt idx="16">
                  <c:v>0.427307692307692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030-435B-BBF1-ABDCA49040F7}"/>
            </c:ext>
          </c:extLst>
        </c:ser>
        <c:ser>
          <c:idx val="2"/>
          <c:order val="2"/>
          <c:tx>
            <c:strRef>
              <c:f>'LIT Scenario projections '!$S$3</c:f>
              <c:strCache>
                <c:ptCount val="1"/>
                <c:pt idx="0">
                  <c:v>Transport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'LIT Scenario projections '!$P$5:$P$31</c:f>
              <c:numCache>
                <c:formatCode>General</c:formatCode>
                <c:ptCount val="1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</c:numCache>
            </c:numRef>
          </c:xVal>
          <c:yVal>
            <c:numRef>
              <c:f>'LIT Scenario projections '!$S$5:$S$31</c:f>
              <c:numCache>
                <c:formatCode>0%</c:formatCode>
                <c:ptCount val="17"/>
                <c:pt idx="0">
                  <c:v>4.8999999999999998E-3</c:v>
                </c:pt>
                <c:pt idx="1">
                  <c:v>1.9134615384615382E-2</c:v>
                </c:pt>
                <c:pt idx="2">
                  <c:v>3.3369230769230762E-2</c:v>
                </c:pt>
                <c:pt idx="3">
                  <c:v>4.7603846153846149E-2</c:v>
                </c:pt>
                <c:pt idx="4">
                  <c:v>6.1838461538461537E-2</c:v>
                </c:pt>
                <c:pt idx="5">
                  <c:v>7.6073076923076924E-2</c:v>
                </c:pt>
                <c:pt idx="6">
                  <c:v>9.0307692307692311E-2</c:v>
                </c:pt>
                <c:pt idx="7">
                  <c:v>0.1045423076923077</c:v>
                </c:pt>
                <c:pt idx="8">
                  <c:v>0.11877692307692309</c:v>
                </c:pt>
                <c:pt idx="9">
                  <c:v>0.13301153846153846</c:v>
                </c:pt>
                <c:pt idx="10">
                  <c:v>0.14724615384615383</c:v>
                </c:pt>
                <c:pt idx="11">
                  <c:v>0.16148076923076921</c:v>
                </c:pt>
                <c:pt idx="12">
                  <c:v>0.17571538461538458</c:v>
                </c:pt>
                <c:pt idx="13">
                  <c:v>0.18994999999999995</c:v>
                </c:pt>
                <c:pt idx="14">
                  <c:v>0.20418461538461533</c:v>
                </c:pt>
                <c:pt idx="15">
                  <c:v>0.2184192307692307</c:v>
                </c:pt>
                <c:pt idx="16">
                  <c:v>0.23265384615384607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030-435B-BBF1-ABDCA49040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3142848"/>
        <c:axId val="533141408"/>
      </c:scatterChart>
      <c:valAx>
        <c:axId val="5331428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3141408"/>
        <c:crosses val="autoZero"/>
        <c:crossBetween val="midCat"/>
      </c:valAx>
      <c:valAx>
        <c:axId val="533141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Electrification</a:t>
                </a:r>
                <a:r>
                  <a:rPr lang="en-US" baseline="0"/>
                  <a:t> of FEC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314284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Eurelectric</a:t>
            </a:r>
            <a:r>
              <a:rPr lang="en-US" baseline="0"/>
              <a:t> Lithuania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'LIT Scenario projections '!$J$3</c:f>
              <c:strCache>
                <c:ptCount val="1"/>
                <c:pt idx="0">
                  <c:v>Buildings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'LIT Scenario projections '!$I$5:$I$31</c:f>
              <c:numCache>
                <c:formatCode>General</c:formatCode>
                <c:ptCount val="1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</c:numCache>
            </c:numRef>
          </c:xVal>
          <c:yVal>
            <c:numRef>
              <c:f>'LIT Scenario projections '!$J$5:$J$31</c:f>
              <c:numCache>
                <c:formatCode>0%</c:formatCode>
                <c:ptCount val="17"/>
                <c:pt idx="0">
                  <c:v>0.27764705882352941</c:v>
                </c:pt>
                <c:pt idx="1">
                  <c:v>0.29529411764705882</c:v>
                </c:pt>
                <c:pt idx="2">
                  <c:v>0.31294117647058822</c:v>
                </c:pt>
                <c:pt idx="3">
                  <c:v>0.33058823529411763</c:v>
                </c:pt>
                <c:pt idx="4">
                  <c:v>0.34823529411764703</c:v>
                </c:pt>
                <c:pt idx="5">
                  <c:v>0.36588235294117644</c:v>
                </c:pt>
                <c:pt idx="6">
                  <c:v>0.38352941176470584</c:v>
                </c:pt>
                <c:pt idx="7">
                  <c:v>0.40117647058823525</c:v>
                </c:pt>
                <c:pt idx="8">
                  <c:v>0.41882352941176465</c:v>
                </c:pt>
                <c:pt idx="9">
                  <c:v>0.43647058823529405</c:v>
                </c:pt>
                <c:pt idx="10">
                  <c:v>0.45411764705882346</c:v>
                </c:pt>
                <c:pt idx="11">
                  <c:v>0.47176470588235286</c:v>
                </c:pt>
                <c:pt idx="12">
                  <c:v>0.48941176470588227</c:v>
                </c:pt>
                <c:pt idx="13">
                  <c:v>0.50705882352941167</c:v>
                </c:pt>
                <c:pt idx="14">
                  <c:v>0.52470588235294113</c:v>
                </c:pt>
                <c:pt idx="15">
                  <c:v>0.54235294117647059</c:v>
                </c:pt>
                <c:pt idx="16">
                  <c:v>0.56000000000000005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18A-43FC-99F3-9F71760675C4}"/>
            </c:ext>
          </c:extLst>
        </c:ser>
        <c:ser>
          <c:idx val="1"/>
          <c:order val="1"/>
          <c:tx>
            <c:strRef>
              <c:f>'LIT Scenario projections '!$K$3</c:f>
              <c:strCache>
                <c:ptCount val="1"/>
                <c:pt idx="0">
                  <c:v>Industry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'LIT Scenario projections '!$I$5:$I$31</c:f>
              <c:numCache>
                <c:formatCode>General</c:formatCode>
                <c:ptCount val="1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</c:numCache>
            </c:numRef>
          </c:xVal>
          <c:yVal>
            <c:numRef>
              <c:f>'LIT Scenario projections '!$K$5:$K$31</c:f>
              <c:numCache>
                <c:formatCode>0%</c:formatCode>
                <c:ptCount val="17"/>
                <c:pt idx="0">
                  <c:v>0.311</c:v>
                </c:pt>
                <c:pt idx="1">
                  <c:v>0.32156249999999997</c:v>
                </c:pt>
                <c:pt idx="2">
                  <c:v>0.33212499999999995</c:v>
                </c:pt>
                <c:pt idx="3">
                  <c:v>0.34268749999999992</c:v>
                </c:pt>
                <c:pt idx="4">
                  <c:v>0.3532499999999999</c:v>
                </c:pt>
                <c:pt idx="5">
                  <c:v>0.36381249999999987</c:v>
                </c:pt>
                <c:pt idx="6">
                  <c:v>0.37437499999999985</c:v>
                </c:pt>
                <c:pt idx="7">
                  <c:v>0.38493749999999982</c:v>
                </c:pt>
                <c:pt idx="8">
                  <c:v>0.3954999999999998</c:v>
                </c:pt>
                <c:pt idx="9">
                  <c:v>0.40606249999999977</c:v>
                </c:pt>
                <c:pt idx="10">
                  <c:v>0.41662499999999975</c:v>
                </c:pt>
                <c:pt idx="11">
                  <c:v>0.42718749999999972</c:v>
                </c:pt>
                <c:pt idx="12">
                  <c:v>0.43774999999999969</c:v>
                </c:pt>
                <c:pt idx="13">
                  <c:v>0.44831249999999967</c:v>
                </c:pt>
                <c:pt idx="14">
                  <c:v>0.45887499999999964</c:v>
                </c:pt>
                <c:pt idx="15">
                  <c:v>0.46943749999999962</c:v>
                </c:pt>
                <c:pt idx="16">
                  <c:v>0.48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18A-43FC-99F3-9F71760675C4}"/>
            </c:ext>
          </c:extLst>
        </c:ser>
        <c:ser>
          <c:idx val="2"/>
          <c:order val="2"/>
          <c:tx>
            <c:strRef>
              <c:f>'LIT Scenario projections '!$L$3</c:f>
              <c:strCache>
                <c:ptCount val="1"/>
                <c:pt idx="0">
                  <c:v>Transport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'LIT Scenario projections '!$I$5:$I$31</c:f>
              <c:numCache>
                <c:formatCode>General</c:formatCode>
                <c:ptCount val="1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</c:numCache>
            </c:numRef>
          </c:xVal>
          <c:yVal>
            <c:numRef>
              <c:f>'LIT Scenario projections '!$L$5:$L$31</c:f>
              <c:numCache>
                <c:formatCode>0%</c:formatCode>
                <c:ptCount val="17"/>
                <c:pt idx="0">
                  <c:v>4.8999999999999998E-3</c:v>
                </c:pt>
                <c:pt idx="1">
                  <c:v>2.3343749999999996E-2</c:v>
                </c:pt>
                <c:pt idx="2">
                  <c:v>4.1787499999999991E-2</c:v>
                </c:pt>
                <c:pt idx="3">
                  <c:v>6.0231249999999986E-2</c:v>
                </c:pt>
                <c:pt idx="4">
                  <c:v>7.8674999999999981E-2</c:v>
                </c:pt>
                <c:pt idx="5">
                  <c:v>9.7118749999999976E-2</c:v>
                </c:pt>
                <c:pt idx="6">
                  <c:v>0.11556249999999997</c:v>
                </c:pt>
                <c:pt idx="7">
                  <c:v>0.13400624999999997</c:v>
                </c:pt>
                <c:pt idx="8">
                  <c:v>0.15244999999999997</c:v>
                </c:pt>
                <c:pt idx="9">
                  <c:v>0.17089374999999998</c:v>
                </c:pt>
                <c:pt idx="10">
                  <c:v>0.18933749999999999</c:v>
                </c:pt>
                <c:pt idx="11">
                  <c:v>0.20778125</c:v>
                </c:pt>
                <c:pt idx="12">
                  <c:v>0.22622500000000001</c:v>
                </c:pt>
                <c:pt idx="13">
                  <c:v>0.24466875000000002</c:v>
                </c:pt>
                <c:pt idx="14">
                  <c:v>0.26311250000000003</c:v>
                </c:pt>
                <c:pt idx="15">
                  <c:v>0.28155625000000001</c:v>
                </c:pt>
                <c:pt idx="16">
                  <c:v>0.3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18A-43FC-99F3-9F71760675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1732896"/>
        <c:axId val="481733376"/>
      </c:scatterChart>
      <c:valAx>
        <c:axId val="4817328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733376"/>
        <c:crosses val="autoZero"/>
        <c:crossBetween val="midCat"/>
      </c:valAx>
      <c:valAx>
        <c:axId val="481733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Electrification of FEC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73289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SEI Lithuania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'LIT Scenario projections '!$X$3</c:f>
              <c:strCache>
                <c:ptCount val="1"/>
                <c:pt idx="0">
                  <c:v>Buildings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'LIT Scenario projections '!$W$4:$W$30</c:f>
              <c:numCache>
                <c:formatCode>General</c:formatCode>
                <c:ptCount val="18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</c:numCache>
            </c:numRef>
          </c:xVal>
          <c:yVal>
            <c:numRef>
              <c:f>'LIT Scenario projections '!$X$4:$X$30</c:f>
              <c:numCache>
                <c:formatCode>0%</c:formatCode>
                <c:ptCount val="18"/>
                <c:pt idx="0">
                  <c:v>0.24150972411031985</c:v>
                </c:pt>
                <c:pt idx="1">
                  <c:v>0.24930994266590575</c:v>
                </c:pt>
                <c:pt idx="2">
                  <c:v>0.25198133786959381</c:v>
                </c:pt>
                <c:pt idx="3">
                  <c:v>0.25554134500383963</c:v>
                </c:pt>
                <c:pt idx="4">
                  <c:v>0.2602649156114783</c:v>
                </c:pt>
                <c:pt idx="5">
                  <c:v>0.26649623171997161</c:v>
                </c:pt>
                <c:pt idx="6">
                  <c:v>0.27465417705778244</c:v>
                </c:pt>
                <c:pt idx="7">
                  <c:v>0.28522857423696413</c:v>
                </c:pt>
                <c:pt idx="8">
                  <c:v>0.298759610091474</c:v>
                </c:pt>
                <c:pt idx="9">
                  <c:v>0.31579116448656747</c:v>
                </c:pt>
                <c:pt idx="10">
                  <c:v>0.33678994477708735</c:v>
                </c:pt>
                <c:pt idx="11">
                  <c:v>0.36202964897408751</c:v>
                </c:pt>
                <c:pt idx="12">
                  <c:v>0.39145536223710409</c:v>
                </c:pt>
                <c:pt idx="13">
                  <c:v>0.42456570948150429</c:v>
                </c:pt>
                <c:pt idx="14">
                  <c:v>0.46036738058736565</c:v>
                </c:pt>
                <c:pt idx="15">
                  <c:v>0.49744992514051656</c:v>
                </c:pt>
                <c:pt idx="16">
                  <c:v>0.53418737426354512</c:v>
                </c:pt>
                <c:pt idx="17">
                  <c:v>0.56901289827457036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683-47F8-9ED0-D4E38AD1FC21}"/>
            </c:ext>
          </c:extLst>
        </c:ser>
        <c:ser>
          <c:idx val="1"/>
          <c:order val="1"/>
          <c:tx>
            <c:strRef>
              <c:f>'LIT Scenario projections '!$Y$3</c:f>
              <c:strCache>
                <c:ptCount val="1"/>
                <c:pt idx="0">
                  <c:v>Industry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'LIT Scenario projections '!$W$4:$W$30</c:f>
              <c:numCache>
                <c:formatCode>General</c:formatCode>
                <c:ptCount val="18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</c:numCache>
            </c:numRef>
          </c:xVal>
          <c:yVal>
            <c:numRef>
              <c:f>'LIT Scenario projections '!$Y$4:$Y$30</c:f>
              <c:numCache>
                <c:formatCode>0%</c:formatCode>
                <c:ptCount val="18"/>
                <c:pt idx="0">
                  <c:v>0.31211167475359625</c:v>
                </c:pt>
                <c:pt idx="1">
                  <c:v>0.31719680352152407</c:v>
                </c:pt>
                <c:pt idx="2">
                  <c:v>0.31892956996885846</c:v>
                </c:pt>
                <c:pt idx="3">
                  <c:v>0.32123181289365915</c:v>
                </c:pt>
                <c:pt idx="4">
                  <c:v>0.32427440332501506</c:v>
                </c:pt>
                <c:pt idx="5">
                  <c:v>0.32826717094990771</c:v>
                </c:pt>
                <c:pt idx="6">
                  <c:v>0.3334586486827455</c:v>
                </c:pt>
                <c:pt idx="7">
                  <c:v>0.34012820004058336</c:v>
                </c:pt>
                <c:pt idx="8">
                  <c:v>0.34856579260087506</c:v>
                </c:pt>
                <c:pt idx="9">
                  <c:v>0.3590347179989431</c:v>
                </c:pt>
                <c:pt idx="10">
                  <c:v>0.37171532432501453</c:v>
                </c:pt>
                <c:pt idx="11">
                  <c:v>0.38663492899071666</c:v>
                </c:pt>
                <c:pt idx="12">
                  <c:v>0.40360029321190172</c:v>
                </c:pt>
                <c:pt idx="13">
                  <c:v>0.42215976142683198</c:v>
                </c:pt>
                <c:pt idx="14">
                  <c:v>0.44162314532739322</c:v>
                </c:pt>
                <c:pt idx="15">
                  <c:v>0.46115068174474105</c:v>
                </c:pt>
                <c:pt idx="16">
                  <c:v>0.47989160035583694</c:v>
                </c:pt>
                <c:pt idx="17">
                  <c:v>0.49712651543135994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683-47F8-9ED0-D4E38AD1FC21}"/>
            </c:ext>
          </c:extLst>
        </c:ser>
        <c:ser>
          <c:idx val="2"/>
          <c:order val="2"/>
          <c:tx>
            <c:strRef>
              <c:f>'LIT Scenario projections '!$Z$3</c:f>
              <c:strCache>
                <c:ptCount val="1"/>
                <c:pt idx="0">
                  <c:v>Transport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'LIT Scenario projections '!$W$4:$W$30</c:f>
              <c:numCache>
                <c:formatCode>General</c:formatCode>
                <c:ptCount val="18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</c:numCache>
            </c:numRef>
          </c:xVal>
          <c:yVal>
            <c:numRef>
              <c:f>'LIT Scenario projections '!$Z$4:$Z$30</c:f>
              <c:numCache>
                <c:formatCode>0%</c:formatCode>
                <c:ptCount val="18"/>
                <c:pt idx="0">
                  <c:v>4.1856917715965376E-3</c:v>
                </c:pt>
                <c:pt idx="1">
                  <c:v>1.1566074770767589E-2</c:v>
                </c:pt>
                <c:pt idx="2">
                  <c:v>1.4106165751666556E-2</c:v>
                </c:pt>
                <c:pt idx="3">
                  <c:v>1.7501153997506784E-2</c:v>
                </c:pt>
                <c:pt idx="4">
                  <c:v>2.2023433205455349E-2</c:v>
                </c:pt>
                <c:pt idx="5">
                  <c:v>2.8020233514892891E-2</c:v>
                </c:pt>
                <c:pt idx="6">
                  <c:v>3.5924994917504526E-2</c:v>
                </c:pt>
                <c:pt idx="7">
                  <c:v>4.6263152196490312E-2</c:v>
                </c:pt>
                <c:pt idx="8">
                  <c:v>5.9645640270515936E-2</c:v>
                </c:pt>
                <c:pt idx="9">
                  <c:v>7.6740482349094377E-2</c:v>
                </c:pt>
                <c:pt idx="10">
                  <c:v>9.8210970341812462E-2</c:v>
                </c:pt>
                <c:pt idx="11">
                  <c:v>0.12461106460199552</c:v>
                </c:pt>
                <c:pt idx="12">
                  <c:v>0.15623877330340571</c:v>
                </c:pt>
                <c:pt idx="13">
                  <c:v>0.19296914382079125</c:v>
                </c:pt>
                <c:pt idx="14">
                  <c:v>0.23411615019722784</c:v>
                </c:pt>
                <c:pt idx="15">
                  <c:v>0.27839157596128755</c:v>
                </c:pt>
                <c:pt idx="16">
                  <c:v>0.32401601446322298</c:v>
                </c:pt>
                <c:pt idx="17">
                  <c:v>0.36898185074281337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683-47F8-9ED0-D4E38AD1FC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76934336"/>
        <c:axId val="1976948256"/>
      </c:scatterChart>
      <c:valAx>
        <c:axId val="19769343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6948256"/>
        <c:crosses val="autoZero"/>
        <c:crossBetween val="midCat"/>
      </c:valAx>
      <c:valAx>
        <c:axId val="19769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Electrification</a:t>
                </a:r>
                <a:r>
                  <a:rPr lang="en-US" baseline="0"/>
                  <a:t> of FEC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693433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0011592300962381E-2"/>
          <c:y val="0.17675174013921119"/>
          <c:w val="0.87865507436570434"/>
          <c:h val="0.77684454756380505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1231872974538166"/>
                  <c:y val="1.507757018984853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'SEI Scenario LAT'!$EB$7:$EB$34</c:f>
              <c:numCache>
                <c:formatCode>0%</c:formatCode>
                <c:ptCount val="28"/>
                <c:pt idx="0">
                  <c:v>0.16186136825192188</c:v>
                </c:pt>
                <c:pt idx="1">
                  <c:v>0.16508572209034542</c:v>
                </c:pt>
                <c:pt idx="2">
                  <c:v>0.16619307836408981</c:v>
                </c:pt>
                <c:pt idx="3">
                  <c:v>0.16767124433711486</c:v>
                </c:pt>
                <c:pt idx="4">
                  <c:v>0.16963688866228799</c:v>
                </c:pt>
                <c:pt idx="5">
                  <c:v>0.17223757790076338</c:v>
                </c:pt>
                <c:pt idx="6">
                  <c:v>0.17565552992079606</c:v>
                </c:pt>
                <c:pt idx="7">
                  <c:v>0.18010827906334148</c:v>
                </c:pt>
                <c:pt idx="8">
                  <c:v>0.18584319113525918</c:v>
                </c:pt>
                <c:pt idx="9">
                  <c:v>0.19312170518073632</c:v>
                </c:pt>
                <c:pt idx="10">
                  <c:v>0.2021889237894689</c:v>
                </c:pt>
                <c:pt idx="11">
                  <c:v>0.21322607201950505</c:v>
                </c:pt>
                <c:pt idx="12">
                  <c:v>0.2262889346517806</c:v>
                </c:pt>
                <c:pt idx="13">
                  <c:v>0.24124495065888757</c:v>
                </c:pt>
                <c:pt idx="14">
                  <c:v>0.25773193127820498</c:v>
                </c:pt>
                <c:pt idx="15">
                  <c:v>0.27516462416027243</c:v>
                </c:pt>
                <c:pt idx="16">
                  <c:v>0.29280346997845658</c:v>
                </c:pt>
                <c:pt idx="17">
                  <c:v>0.30987360921377172</c:v>
                </c:pt>
                <c:pt idx="18">
                  <c:v>0.32569612155402827</c:v>
                </c:pt>
                <c:pt idx="19">
                  <c:v>0.33978664456002172</c:v>
                </c:pt>
                <c:pt idx="20">
                  <c:v>0.35189434622699228</c:v>
                </c:pt>
                <c:pt idx="21">
                  <c:v>0.3619829152429328</c:v>
                </c:pt>
                <c:pt idx="22">
                  <c:v>0.3701756971597791</c:v>
                </c:pt>
                <c:pt idx="23">
                  <c:v>0.3766911357682749</c:v>
                </c:pt>
                <c:pt idx="24">
                  <c:v>0.38178692994708802</c:v>
                </c:pt>
                <c:pt idx="25">
                  <c:v>0.38572065674540579</c:v>
                </c:pt>
                <c:pt idx="26">
                  <c:v>0.38872679153591094</c:v>
                </c:pt>
                <c:pt idx="27">
                  <c:v>0.39100637439679775</c:v>
                </c:pt>
              </c:numCache>
            </c:numRef>
          </c:xVal>
          <c:yVal>
            <c:numRef>
              <c:f>'SEI Scenario LAT'!$ED$7:$ED$34</c:f>
              <c:numCache>
                <c:formatCode>0%</c:formatCode>
                <c:ptCount val="28"/>
                <c:pt idx="0">
                  <c:v>0</c:v>
                </c:pt>
                <c:pt idx="1">
                  <c:v>3.5048316454646192E-3</c:v>
                </c:pt>
                <c:pt idx="2">
                  <c:v>4.7028531015665641E-3</c:v>
                </c:pt>
                <c:pt idx="3">
                  <c:v>6.2975626116504643E-3</c:v>
                </c:pt>
                <c:pt idx="4">
                  <c:v>8.4102856806113763E-3</c:v>
                </c:pt>
                <c:pt idx="5">
                  <c:v>1.1191803207839704E-2</c:v>
                </c:pt>
                <c:pt idx="6">
                  <c:v>1.482376454101391E-2</c:v>
                </c:pt>
                <c:pt idx="7">
                  <c:v>1.9515485387988436E-2</c:v>
                </c:pt>
                <c:pt idx="8">
                  <c:v>2.5492741299632655E-2</c:v>
                </c:pt>
                <c:pt idx="9">
                  <c:v>3.2974693194795103E-2</c:v>
                </c:pt>
                <c:pt idx="10">
                  <c:v>4.2136159200812297E-2</c:v>
                </c:pt>
                <c:pt idx="11">
                  <c:v>5.3056445283289379E-2</c:v>
                </c:pt>
                <c:pt idx="12">
                  <c:v>6.5663540063103112E-2</c:v>
                </c:pt>
                <c:pt idx="13">
                  <c:v>7.9691735538947567E-2</c:v>
                </c:pt>
                <c:pt idx="14">
                  <c:v>9.4675739435617412E-2</c:v>
                </c:pt>
                <c:pt idx="15">
                  <c:v>0.10999751603192098</c:v>
                </c:pt>
                <c:pt idx="16">
                  <c:v>0.12498151992859133</c:v>
                </c:pt>
                <c:pt idx="17">
                  <c:v>0.13900971540443588</c:v>
                </c:pt>
                <c:pt idx="18">
                  <c:v>0.15161681018424916</c:v>
                </c:pt>
                <c:pt idx="19">
                  <c:v>0.16253709626672622</c:v>
                </c:pt>
                <c:pt idx="20">
                  <c:v>0.17169856227274347</c:v>
                </c:pt>
                <c:pt idx="21">
                  <c:v>0.17918051416790576</c:v>
                </c:pt>
                <c:pt idx="22">
                  <c:v>0.18515777007955012</c:v>
                </c:pt>
                <c:pt idx="23">
                  <c:v>0.1898494909265247</c:v>
                </c:pt>
                <c:pt idx="24">
                  <c:v>0.19348145225969879</c:v>
                </c:pt>
                <c:pt idx="25">
                  <c:v>0.19626296978692712</c:v>
                </c:pt>
                <c:pt idx="26">
                  <c:v>0.19837569285588819</c:v>
                </c:pt>
                <c:pt idx="27">
                  <c:v>0.19997040236597169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929-4D4B-91BE-A2F237605A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7937039"/>
        <c:axId val="227931279"/>
      </c:scatterChart>
      <c:valAx>
        <c:axId val="22793703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7931279"/>
        <c:crosses val="autoZero"/>
        <c:crossBetween val="midCat"/>
      </c:valAx>
      <c:valAx>
        <c:axId val="2279312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793703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'SEI Scenario LAT'!$BK$7:$BK$34</c:f>
              <c:numCache>
                <c:formatCode>0%</c:formatCode>
                <c:ptCount val="28"/>
                <c:pt idx="0">
                  <c:v>0.2466855983256683</c:v>
                </c:pt>
                <c:pt idx="1">
                  <c:v>0.25214884418664751</c:v>
                </c:pt>
                <c:pt idx="2">
                  <c:v>0.25402911198604222</c:v>
                </c:pt>
                <c:pt idx="3">
                  <c:v>0.25654220097836844</c:v>
                </c:pt>
                <c:pt idx="4">
                  <c:v>0.25988974148180516</c:v>
                </c:pt>
                <c:pt idx="5">
                  <c:v>0.26432875595266897</c:v>
                </c:pt>
                <c:pt idx="6">
                  <c:v>0.27018007480023365</c:v>
                </c:pt>
                <c:pt idx="7">
                  <c:v>0.27783261362310308</c:v>
                </c:pt>
                <c:pt idx="8">
                  <c:v>0.28773855837417384</c:v>
                </c:pt>
                <c:pt idx="9">
                  <c:v>0.30039232438872221</c:v>
                </c:pt>
                <c:pt idx="10">
                  <c:v>0.31628478495964657</c:v>
                </c:pt>
                <c:pt idx="11">
                  <c:v>0.33582583530120624</c:v>
                </c:pt>
                <c:pt idx="12">
                  <c:v>0.35923586216816661</c:v>
                </c:pt>
                <c:pt idx="13">
                  <c:v>0.38642214179556317</c:v>
                </c:pt>
                <c:pt idx="14">
                  <c:v>0.41687665417324477</c:v>
                </c:pt>
                <c:pt idx="15">
                  <c:v>0.44964571667794828</c:v>
                </c:pt>
                <c:pt idx="16">
                  <c:v>0.48341221547945562</c:v>
                </c:pt>
                <c:pt idx="17">
                  <c:v>0.51669029876481387</c:v>
                </c:pt>
                <c:pt idx="18">
                  <c:v>0.54807764961944394</c:v>
                </c:pt>
                <c:pt idx="19">
                  <c:v>0.57647885440356061</c:v>
                </c:pt>
                <c:pt idx="20">
                  <c:v>0.6012295068928879</c:v>
                </c:pt>
                <c:pt idx="21">
                  <c:v>0.62210176864554878</c:v>
                </c:pt>
                <c:pt idx="22">
                  <c:v>0.63922123531472075</c:v>
                </c:pt>
                <c:pt idx="23">
                  <c:v>0.65294562379189303</c:v>
                </c:pt>
                <c:pt idx="24">
                  <c:v>0.66374818662575896</c:v>
                </c:pt>
                <c:pt idx="25">
                  <c:v>0.67212880290833676</c:v>
                </c:pt>
                <c:pt idx="26">
                  <c:v>0.67855777594283462</c:v>
                </c:pt>
                <c:pt idx="27">
                  <c:v>0.68344718193386911</c:v>
                </c:pt>
              </c:numCache>
            </c:numRef>
          </c:xVal>
          <c:yVal>
            <c:numRef>
              <c:f>'SEI Scenario LAT'!$BM$7:$BM$34</c:f>
              <c:numCache>
                <c:formatCode>0%</c:formatCode>
                <c:ptCount val="28"/>
                <c:pt idx="0">
                  <c:v>1.7493616745554996E-3</c:v>
                </c:pt>
                <c:pt idx="1">
                  <c:v>6.822258335438515E-3</c:v>
                </c:pt>
                <c:pt idx="2">
                  <c:v>8.5562757317351797E-3</c:v>
                </c:pt>
                <c:pt idx="3">
                  <c:v>1.0864459795083839E-2</c:v>
                </c:pt>
                <c:pt idx="4">
                  <c:v>1.3922417176794762E-2</c:v>
                </c:pt>
                <c:pt idx="5">
                  <c:v>1.7948388294215904E-2</c:v>
                </c:pt>
                <c:pt idx="6">
                  <c:v>2.3205292586140389E-2</c:v>
                </c:pt>
                <c:pt idx="7">
                  <c:v>2.9996093807423487E-2</c:v>
                </c:pt>
                <c:pt idx="8">
                  <c:v>3.8647579705372949E-2</c:v>
                </c:pt>
                <c:pt idx="9">
                  <c:v>4.9476964002610833E-2</c:v>
                </c:pt>
                <c:pt idx="10">
                  <c:v>6.2737278623102924E-2</c:v>
                </c:pt>
                <c:pt idx="11">
                  <c:v>7.8543311096979623E-2</c:v>
                </c:pt>
                <c:pt idx="12">
                  <c:v>9.6790832085530423E-2</c:v>
                </c:pt>
                <c:pt idx="13">
                  <c:v>0.11709525557466265</c:v>
                </c:pt>
                <c:pt idx="14">
                  <c:v>0.13878311708220156</c:v>
                </c:pt>
                <c:pt idx="15">
                  <c:v>0.1609598711168107</c:v>
                </c:pt>
                <c:pt idx="16">
                  <c:v>0.18264773262434966</c:v>
                </c:pt>
                <c:pt idx="17">
                  <c:v>0.20295215611348211</c:v>
                </c:pt>
                <c:pt idx="18">
                  <c:v>0.22119967710203256</c:v>
                </c:pt>
                <c:pt idx="19">
                  <c:v>0.23700570957590938</c:v>
                </c:pt>
                <c:pt idx="20">
                  <c:v>0.25026602419640148</c:v>
                </c:pt>
                <c:pt idx="21">
                  <c:v>0.26109540849363916</c:v>
                </c:pt>
                <c:pt idx="22">
                  <c:v>0.269746894391589</c:v>
                </c:pt>
                <c:pt idx="23">
                  <c:v>0.27653769561287195</c:v>
                </c:pt>
                <c:pt idx="24">
                  <c:v>0.28179459990479622</c:v>
                </c:pt>
                <c:pt idx="25">
                  <c:v>0.28582057102221742</c:v>
                </c:pt>
                <c:pt idx="26">
                  <c:v>0.28887852840392869</c:v>
                </c:pt>
                <c:pt idx="27">
                  <c:v>0.29118671246727695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973-498D-AAC5-C32C0E0D31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7901519"/>
        <c:axId val="227903919"/>
      </c:scatterChart>
      <c:valAx>
        <c:axId val="22790151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7903919"/>
        <c:crosses val="autoZero"/>
        <c:crossBetween val="midCat"/>
      </c:valAx>
      <c:valAx>
        <c:axId val="227903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790151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9.xml"/><Relationship Id="rId13" Type="http://schemas.openxmlformats.org/officeDocument/2006/relationships/chart" Target="../charts/chart34.xml"/><Relationship Id="rId18" Type="http://schemas.openxmlformats.org/officeDocument/2006/relationships/chart" Target="../charts/chart39.xml"/><Relationship Id="rId3" Type="http://schemas.openxmlformats.org/officeDocument/2006/relationships/chart" Target="../charts/chart24.xml"/><Relationship Id="rId7" Type="http://schemas.openxmlformats.org/officeDocument/2006/relationships/chart" Target="../charts/chart28.xml"/><Relationship Id="rId12" Type="http://schemas.openxmlformats.org/officeDocument/2006/relationships/chart" Target="../charts/chart33.xml"/><Relationship Id="rId17" Type="http://schemas.openxmlformats.org/officeDocument/2006/relationships/chart" Target="../charts/chart38.xml"/><Relationship Id="rId2" Type="http://schemas.openxmlformats.org/officeDocument/2006/relationships/chart" Target="../charts/chart23.xml"/><Relationship Id="rId16" Type="http://schemas.openxmlformats.org/officeDocument/2006/relationships/chart" Target="../charts/chart37.xml"/><Relationship Id="rId1" Type="http://schemas.openxmlformats.org/officeDocument/2006/relationships/chart" Target="../charts/chart22.xml"/><Relationship Id="rId6" Type="http://schemas.openxmlformats.org/officeDocument/2006/relationships/chart" Target="../charts/chart27.xml"/><Relationship Id="rId11" Type="http://schemas.openxmlformats.org/officeDocument/2006/relationships/chart" Target="../charts/chart32.xml"/><Relationship Id="rId5" Type="http://schemas.openxmlformats.org/officeDocument/2006/relationships/chart" Target="../charts/chart26.xml"/><Relationship Id="rId15" Type="http://schemas.openxmlformats.org/officeDocument/2006/relationships/chart" Target="../charts/chart36.xml"/><Relationship Id="rId10" Type="http://schemas.openxmlformats.org/officeDocument/2006/relationships/chart" Target="../charts/chart31.xml"/><Relationship Id="rId19" Type="http://schemas.openxmlformats.org/officeDocument/2006/relationships/chart" Target="../charts/chart40.xml"/><Relationship Id="rId4" Type="http://schemas.openxmlformats.org/officeDocument/2006/relationships/chart" Target="../charts/chart25.xml"/><Relationship Id="rId9" Type="http://schemas.openxmlformats.org/officeDocument/2006/relationships/chart" Target="../charts/chart30.xml"/><Relationship Id="rId14" Type="http://schemas.openxmlformats.org/officeDocument/2006/relationships/chart" Target="../charts/chart35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8.xml"/><Relationship Id="rId13" Type="http://schemas.openxmlformats.org/officeDocument/2006/relationships/chart" Target="../charts/chart53.xml"/><Relationship Id="rId18" Type="http://schemas.openxmlformats.org/officeDocument/2006/relationships/chart" Target="../charts/chart58.xml"/><Relationship Id="rId3" Type="http://schemas.openxmlformats.org/officeDocument/2006/relationships/chart" Target="../charts/chart43.xml"/><Relationship Id="rId7" Type="http://schemas.openxmlformats.org/officeDocument/2006/relationships/chart" Target="../charts/chart47.xml"/><Relationship Id="rId12" Type="http://schemas.openxmlformats.org/officeDocument/2006/relationships/chart" Target="../charts/chart52.xml"/><Relationship Id="rId17" Type="http://schemas.openxmlformats.org/officeDocument/2006/relationships/chart" Target="../charts/chart57.xml"/><Relationship Id="rId2" Type="http://schemas.openxmlformats.org/officeDocument/2006/relationships/chart" Target="../charts/chart42.xml"/><Relationship Id="rId16" Type="http://schemas.openxmlformats.org/officeDocument/2006/relationships/chart" Target="../charts/chart56.xml"/><Relationship Id="rId1" Type="http://schemas.openxmlformats.org/officeDocument/2006/relationships/chart" Target="../charts/chart41.xml"/><Relationship Id="rId6" Type="http://schemas.openxmlformats.org/officeDocument/2006/relationships/chart" Target="../charts/chart46.xml"/><Relationship Id="rId11" Type="http://schemas.openxmlformats.org/officeDocument/2006/relationships/chart" Target="../charts/chart51.xml"/><Relationship Id="rId5" Type="http://schemas.openxmlformats.org/officeDocument/2006/relationships/chart" Target="../charts/chart45.xml"/><Relationship Id="rId15" Type="http://schemas.openxmlformats.org/officeDocument/2006/relationships/chart" Target="../charts/chart55.xml"/><Relationship Id="rId10" Type="http://schemas.openxmlformats.org/officeDocument/2006/relationships/chart" Target="../charts/chart50.xml"/><Relationship Id="rId19" Type="http://schemas.openxmlformats.org/officeDocument/2006/relationships/chart" Target="../charts/chart59.xml"/><Relationship Id="rId4" Type="http://schemas.openxmlformats.org/officeDocument/2006/relationships/chart" Target="../charts/chart44.xml"/><Relationship Id="rId9" Type="http://schemas.openxmlformats.org/officeDocument/2006/relationships/chart" Target="../charts/chart49.xml"/><Relationship Id="rId14" Type="http://schemas.openxmlformats.org/officeDocument/2006/relationships/chart" Target="../charts/chart54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7.xml"/><Relationship Id="rId3" Type="http://schemas.openxmlformats.org/officeDocument/2006/relationships/chart" Target="../charts/chart62.xml"/><Relationship Id="rId7" Type="http://schemas.openxmlformats.org/officeDocument/2006/relationships/chart" Target="../charts/chart66.xml"/><Relationship Id="rId2" Type="http://schemas.openxmlformats.org/officeDocument/2006/relationships/chart" Target="../charts/chart61.xml"/><Relationship Id="rId1" Type="http://schemas.openxmlformats.org/officeDocument/2006/relationships/chart" Target="../charts/chart60.xml"/><Relationship Id="rId6" Type="http://schemas.openxmlformats.org/officeDocument/2006/relationships/chart" Target="../charts/chart65.xml"/><Relationship Id="rId5" Type="http://schemas.openxmlformats.org/officeDocument/2006/relationships/chart" Target="../charts/chart64.xml"/><Relationship Id="rId4" Type="http://schemas.openxmlformats.org/officeDocument/2006/relationships/chart" Target="../charts/chart63.xml"/><Relationship Id="rId9" Type="http://schemas.openxmlformats.org/officeDocument/2006/relationships/chart" Target="../charts/chart68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6.xml"/><Relationship Id="rId3" Type="http://schemas.openxmlformats.org/officeDocument/2006/relationships/chart" Target="../charts/chart71.xml"/><Relationship Id="rId7" Type="http://schemas.openxmlformats.org/officeDocument/2006/relationships/chart" Target="../charts/chart75.xml"/><Relationship Id="rId2" Type="http://schemas.openxmlformats.org/officeDocument/2006/relationships/chart" Target="../charts/chart70.xml"/><Relationship Id="rId1" Type="http://schemas.openxmlformats.org/officeDocument/2006/relationships/chart" Target="../charts/chart69.xml"/><Relationship Id="rId6" Type="http://schemas.openxmlformats.org/officeDocument/2006/relationships/chart" Target="../charts/chart74.xml"/><Relationship Id="rId5" Type="http://schemas.openxmlformats.org/officeDocument/2006/relationships/chart" Target="../charts/chart73.xml"/><Relationship Id="rId4" Type="http://schemas.openxmlformats.org/officeDocument/2006/relationships/chart" Target="../charts/chart72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4.xml"/><Relationship Id="rId3" Type="http://schemas.openxmlformats.org/officeDocument/2006/relationships/chart" Target="../charts/chart79.xml"/><Relationship Id="rId7" Type="http://schemas.openxmlformats.org/officeDocument/2006/relationships/chart" Target="../charts/chart83.xml"/><Relationship Id="rId2" Type="http://schemas.openxmlformats.org/officeDocument/2006/relationships/chart" Target="../charts/chart78.xml"/><Relationship Id="rId1" Type="http://schemas.openxmlformats.org/officeDocument/2006/relationships/chart" Target="../charts/chart77.xml"/><Relationship Id="rId6" Type="http://schemas.openxmlformats.org/officeDocument/2006/relationships/chart" Target="../charts/chart82.xml"/><Relationship Id="rId5" Type="http://schemas.openxmlformats.org/officeDocument/2006/relationships/chart" Target="../charts/chart81.xml"/><Relationship Id="rId4" Type="http://schemas.openxmlformats.org/officeDocument/2006/relationships/chart" Target="../charts/chart80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2.xml"/><Relationship Id="rId3" Type="http://schemas.openxmlformats.org/officeDocument/2006/relationships/chart" Target="../charts/chart87.xml"/><Relationship Id="rId7" Type="http://schemas.openxmlformats.org/officeDocument/2006/relationships/chart" Target="../charts/chart91.xml"/><Relationship Id="rId2" Type="http://schemas.openxmlformats.org/officeDocument/2006/relationships/chart" Target="../charts/chart86.xml"/><Relationship Id="rId1" Type="http://schemas.openxmlformats.org/officeDocument/2006/relationships/chart" Target="../charts/chart85.xml"/><Relationship Id="rId6" Type="http://schemas.openxmlformats.org/officeDocument/2006/relationships/chart" Target="../charts/chart90.xml"/><Relationship Id="rId5" Type="http://schemas.openxmlformats.org/officeDocument/2006/relationships/chart" Target="../charts/chart89.xml"/><Relationship Id="rId4" Type="http://schemas.openxmlformats.org/officeDocument/2006/relationships/chart" Target="../charts/chart88.xml"/><Relationship Id="rId9" Type="http://schemas.openxmlformats.org/officeDocument/2006/relationships/chart" Target="../charts/chart93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6.xml"/><Relationship Id="rId2" Type="http://schemas.openxmlformats.org/officeDocument/2006/relationships/chart" Target="../charts/chart95.xml"/><Relationship Id="rId1" Type="http://schemas.openxmlformats.org/officeDocument/2006/relationships/chart" Target="../charts/chart94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9.xml"/><Relationship Id="rId2" Type="http://schemas.openxmlformats.org/officeDocument/2006/relationships/chart" Target="../charts/chart98.xml"/><Relationship Id="rId1" Type="http://schemas.openxmlformats.org/officeDocument/2006/relationships/chart" Target="../charts/chart97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2.xml"/><Relationship Id="rId2" Type="http://schemas.openxmlformats.org/officeDocument/2006/relationships/chart" Target="../charts/chart101.xml"/><Relationship Id="rId1" Type="http://schemas.openxmlformats.org/officeDocument/2006/relationships/chart" Target="../charts/chart100.xml"/><Relationship Id="rId5" Type="http://schemas.openxmlformats.org/officeDocument/2006/relationships/chart" Target="../charts/chart104.xml"/><Relationship Id="rId4" Type="http://schemas.openxmlformats.org/officeDocument/2006/relationships/chart" Target="../charts/chart103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6.xml"/><Relationship Id="rId1" Type="http://schemas.openxmlformats.org/officeDocument/2006/relationships/chart" Target="../charts/chart10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8</xdr:row>
      <xdr:rowOff>28574</xdr:rowOff>
    </xdr:from>
    <xdr:to>
      <xdr:col>9</xdr:col>
      <xdr:colOff>542925</xdr:colOff>
      <xdr:row>22</xdr:row>
      <xdr:rowOff>133349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ABD680E-2A73-4B63-B05F-397C631A94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22224</xdr:colOff>
      <xdr:row>8</xdr:row>
      <xdr:rowOff>31750</xdr:rowOff>
    </xdr:from>
    <xdr:to>
      <xdr:col>18</xdr:col>
      <xdr:colOff>488950</xdr:colOff>
      <xdr:row>22</xdr:row>
      <xdr:rowOff>127000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15A2D0D-2973-44D7-A2C3-A9CB202B6CF4}"/>
            </a:ext>
            <a:ext uri="{147F2762-F138-4A5C-976F-8EAC2B608ADB}">
              <a16:predDERef xmlns:a16="http://schemas.microsoft.com/office/drawing/2014/main" pred="{643DAE66-547C-48C5-B81D-B5C5A39B60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231774</xdr:colOff>
      <xdr:row>24</xdr:row>
      <xdr:rowOff>50800</xdr:rowOff>
    </xdr:from>
    <xdr:to>
      <xdr:col>9</xdr:col>
      <xdr:colOff>571500</xdr:colOff>
      <xdr:row>43</xdr:row>
      <xdr:rowOff>88900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1A92272-A473-440A-8256-8EFF82F232EB}"/>
            </a:ext>
            <a:ext uri="{147F2762-F138-4A5C-976F-8EAC2B608ADB}">
              <a16:predDERef xmlns:a16="http://schemas.microsoft.com/office/drawing/2014/main" pred="{9704633E-48D7-9123-D54F-8E37207AC2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31750</xdr:colOff>
      <xdr:row>24</xdr:row>
      <xdr:rowOff>38100</xdr:rowOff>
    </xdr:from>
    <xdr:to>
      <xdr:col>18</xdr:col>
      <xdr:colOff>476250</xdr:colOff>
      <xdr:row>43</xdr:row>
      <xdr:rowOff>107950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9433718-F454-4A18-8B81-DC0FEF43706A}"/>
            </a:ext>
            <a:ext uri="{147F2762-F138-4A5C-976F-8EAC2B608ADB}">
              <a16:predDERef xmlns:a16="http://schemas.microsoft.com/office/drawing/2014/main" pred="{AAEFC104-DF78-8827-34FF-DE09921D78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63500</xdr:colOff>
      <xdr:row>45</xdr:row>
      <xdr:rowOff>25400</xdr:rowOff>
    </xdr:from>
    <xdr:to>
      <xdr:col>18</xdr:col>
      <xdr:colOff>501650</xdr:colOff>
      <xdr:row>61</xdr:row>
      <xdr:rowOff>6350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09C9C70-0ADB-4155-8B24-8DB963D18FF4}"/>
            </a:ext>
            <a:ext uri="{147F2762-F138-4A5C-976F-8EAC2B608ADB}">
              <a16:predDERef xmlns:a16="http://schemas.microsoft.com/office/drawing/2014/main" pred="{F03543EB-3314-4C70-AD88-BBD9241C1A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222250</xdr:colOff>
      <xdr:row>63</xdr:row>
      <xdr:rowOff>50800</xdr:rowOff>
    </xdr:from>
    <xdr:to>
      <xdr:col>18</xdr:col>
      <xdr:colOff>501650</xdr:colOff>
      <xdr:row>78</xdr:row>
      <xdr:rowOff>31750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1B3C2CD1-AEE4-4A84-BAC8-A8AEE1B62371}"/>
            </a:ext>
            <a:ext uri="{147F2762-F138-4A5C-976F-8EAC2B608ADB}">
              <a16:predDERef xmlns:a16="http://schemas.microsoft.com/office/drawing/2014/main" pred="{7DAFB824-87C0-4FFC-9059-D2786E9CCD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279400</xdr:colOff>
      <xdr:row>45</xdr:row>
      <xdr:rowOff>38100</xdr:rowOff>
    </xdr:from>
    <xdr:to>
      <xdr:col>9</xdr:col>
      <xdr:colOff>596900</xdr:colOff>
      <xdr:row>61</xdr:row>
      <xdr:rowOff>6350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AA69B1E6-5699-4821-A72E-026FC3EC137E}"/>
            </a:ext>
            <a:ext uri="{147F2762-F138-4A5C-976F-8EAC2B608ADB}">
              <a16:predDERef xmlns:a16="http://schemas.microsoft.com/office/drawing/2014/main" pred="{616709E9-B920-4B42-9268-A994961DB8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152400</xdr:colOff>
      <xdr:row>80</xdr:row>
      <xdr:rowOff>90487</xdr:rowOff>
    </xdr:from>
    <xdr:to>
      <xdr:col>17</xdr:col>
      <xdr:colOff>314325</xdr:colOff>
      <xdr:row>95</xdr:row>
      <xdr:rowOff>119062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A70B3D93-C0B2-4DD1-8C11-1FD90C516494}"/>
            </a:ext>
            <a:ext uri="{147F2762-F138-4A5C-976F-8EAC2B608ADB}">
              <a16:predDERef xmlns:a16="http://schemas.microsoft.com/office/drawing/2014/main" pred="{E5C11B0F-7543-4407-919E-7AF1CB0839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263524</xdr:colOff>
      <xdr:row>80</xdr:row>
      <xdr:rowOff>95250</xdr:rowOff>
    </xdr:from>
    <xdr:to>
      <xdr:col>9</xdr:col>
      <xdr:colOff>565149</xdr:colOff>
      <xdr:row>95</xdr:row>
      <xdr:rowOff>139700</xdr:rowOff>
    </xdr:to>
    <xdr:graphicFrame macro="">
      <xdr:nvGraphicFramePr>
        <xdr:cNvPr id="10" name="Chart 7">
          <a:extLst>
            <a:ext uri="{FF2B5EF4-FFF2-40B4-BE49-F238E27FC236}">
              <a16:creationId xmlns:a16="http://schemas.microsoft.com/office/drawing/2014/main" id="{A450E46B-45C2-4956-9E9A-18FC3A0FB9B8}"/>
            </a:ext>
            <a:ext uri="{147F2762-F138-4A5C-976F-8EAC2B608ADB}">
              <a16:predDERef xmlns:a16="http://schemas.microsoft.com/office/drawing/2014/main" pred="{F4BA0E2A-2A35-C545-155D-65A6B5C30F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477514</xdr:colOff>
      <xdr:row>400</xdr:row>
      <xdr:rowOff>135866</xdr:rowOff>
    </xdr:from>
    <xdr:to>
      <xdr:col>13</xdr:col>
      <xdr:colOff>190501</xdr:colOff>
      <xdr:row>418</xdr:row>
      <xdr:rowOff>142875</xdr:rowOff>
    </xdr:to>
    <xdr:graphicFrame macro="">
      <xdr:nvGraphicFramePr>
        <xdr:cNvPr id="11" name="Chart 11">
          <a:extLst>
            <a:ext uri="{FF2B5EF4-FFF2-40B4-BE49-F238E27FC236}">
              <a16:creationId xmlns:a16="http://schemas.microsoft.com/office/drawing/2014/main" id="{047DC3CA-172D-48C9-99AD-82A1331DB8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244318</xdr:colOff>
      <xdr:row>400</xdr:row>
      <xdr:rowOff>142809</xdr:rowOff>
    </xdr:from>
    <xdr:to>
      <xdr:col>6</xdr:col>
      <xdr:colOff>285750</xdr:colOff>
      <xdr:row>418</xdr:row>
      <xdr:rowOff>166688</xdr:rowOff>
    </xdr:to>
    <xdr:graphicFrame macro="">
      <xdr:nvGraphicFramePr>
        <xdr:cNvPr id="12" name="Chart 13">
          <a:extLst>
            <a:ext uri="{FF2B5EF4-FFF2-40B4-BE49-F238E27FC236}">
              <a16:creationId xmlns:a16="http://schemas.microsoft.com/office/drawing/2014/main" id="{ADEC6E53-26AF-4C3C-A9C1-1FE6105F6A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299357</xdr:colOff>
      <xdr:row>63</xdr:row>
      <xdr:rowOff>111578</xdr:rowOff>
    </xdr:from>
    <xdr:to>
      <xdr:col>9</xdr:col>
      <xdr:colOff>571500</xdr:colOff>
      <xdr:row>78</xdr:row>
      <xdr:rowOff>3628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6C1998D7-657C-47FF-8274-51CBB669DC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14</xdr:col>
      <xdr:colOff>397531</xdr:colOff>
      <xdr:row>315</xdr:row>
      <xdr:rowOff>11906</xdr:rowOff>
    </xdr:from>
    <xdr:to>
      <xdr:col>21</xdr:col>
      <xdr:colOff>333375</xdr:colOff>
      <xdr:row>333</xdr:row>
      <xdr:rowOff>152458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3F4F51A4-646C-4494-B491-FF94C0AE65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15</xdr:col>
      <xdr:colOff>253637</xdr:colOff>
      <xdr:row>335</xdr:row>
      <xdr:rowOff>59734</xdr:rowOff>
    </xdr:from>
    <xdr:to>
      <xdr:col>26</xdr:col>
      <xdr:colOff>197303</xdr:colOff>
      <xdr:row>363</xdr:row>
      <xdr:rowOff>85769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D4FEC8AC-59BE-42A8-98CF-A3FD5FE8C1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11</xdr:col>
      <xdr:colOff>103346</xdr:colOff>
      <xdr:row>286</xdr:row>
      <xdr:rowOff>29291</xdr:rowOff>
    </xdr:from>
    <xdr:to>
      <xdr:col>17</xdr:col>
      <xdr:colOff>220026</xdr:colOff>
      <xdr:row>298</xdr:row>
      <xdr:rowOff>385127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B9C12936-6D9C-42B0-B715-6DF9A06129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154782</xdr:colOff>
      <xdr:row>365</xdr:row>
      <xdr:rowOff>0</xdr:rowOff>
    </xdr:from>
    <xdr:to>
      <xdr:col>20</xdr:col>
      <xdr:colOff>348990</xdr:colOff>
      <xdr:row>379</xdr:row>
      <xdr:rowOff>80168</xdr:rowOff>
    </xdr:to>
    <xdr:graphicFrame macro="">
      <xdr:nvGraphicFramePr>
        <xdr:cNvPr id="17" name="Chart 12">
          <a:extLst>
            <a:ext uri="{FF2B5EF4-FFF2-40B4-BE49-F238E27FC236}">
              <a16:creationId xmlns:a16="http://schemas.microsoft.com/office/drawing/2014/main" id="{9D08DD5D-73A6-4D3D-9D18-B99A413F88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20</xdr:col>
      <xdr:colOff>525780</xdr:colOff>
      <xdr:row>364</xdr:row>
      <xdr:rowOff>122873</xdr:rowOff>
    </xdr:from>
    <xdr:to>
      <xdr:col>27</xdr:col>
      <xdr:colOff>97699</xdr:colOff>
      <xdr:row>379</xdr:row>
      <xdr:rowOff>81359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68750AB8-7F65-42DA-BA0B-1DCBD32C69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6</xdr:col>
      <xdr:colOff>262414</xdr:colOff>
      <xdr:row>301</xdr:row>
      <xdr:rowOff>144541</xdr:rowOff>
    </xdr:from>
    <xdr:to>
      <xdr:col>14</xdr:col>
      <xdr:colOff>200502</xdr:colOff>
      <xdr:row>323</xdr:row>
      <xdr:rowOff>170496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C355E395-0956-4BF1-9AD4-21E1395064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26</xdr:col>
      <xdr:colOff>363221</xdr:colOff>
      <xdr:row>349</xdr:row>
      <xdr:rowOff>23176</xdr:rowOff>
    </xdr:from>
    <xdr:to>
      <xdr:col>32</xdr:col>
      <xdr:colOff>220345</xdr:colOff>
      <xdr:row>364</xdr:row>
      <xdr:rowOff>32225</xdr:rowOff>
    </xdr:to>
    <xdr:graphicFrame macro="">
      <xdr:nvGraphicFramePr>
        <xdr:cNvPr id="20" name="Chart 17">
          <a:extLst>
            <a:ext uri="{FF2B5EF4-FFF2-40B4-BE49-F238E27FC236}">
              <a16:creationId xmlns:a16="http://schemas.microsoft.com/office/drawing/2014/main" id="{9876CC48-6E0E-4C95-915B-B23DEEA98E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14</xdr:col>
      <xdr:colOff>273844</xdr:colOff>
      <xdr:row>381</xdr:row>
      <xdr:rowOff>182402</xdr:rowOff>
    </xdr:from>
    <xdr:to>
      <xdr:col>21</xdr:col>
      <xdr:colOff>323373</xdr:colOff>
      <xdr:row>393</xdr:row>
      <xdr:rowOff>55562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EF92A154-8B9C-4D6C-A0EB-F50BB9D8E2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21</xdr:col>
      <xdr:colOff>601744</xdr:colOff>
      <xdr:row>381</xdr:row>
      <xdr:rowOff>172401</xdr:rowOff>
    </xdr:from>
    <xdr:to>
      <xdr:col>27</xdr:col>
      <xdr:colOff>488156</xdr:colOff>
      <xdr:row>393</xdr:row>
      <xdr:rowOff>43655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E0422E65-7E11-454A-A9E6-4AC2FA3552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9</xdr:row>
      <xdr:rowOff>28574</xdr:rowOff>
    </xdr:from>
    <xdr:to>
      <xdr:col>10</xdr:col>
      <xdr:colOff>542925</xdr:colOff>
      <xdr:row>23</xdr:row>
      <xdr:rowOff>133349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509842B-4F7A-4D05-B993-0E1FD5B108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22224</xdr:colOff>
      <xdr:row>9</xdr:row>
      <xdr:rowOff>31750</xdr:rowOff>
    </xdr:from>
    <xdr:to>
      <xdr:col>19</xdr:col>
      <xdr:colOff>488950</xdr:colOff>
      <xdr:row>23</xdr:row>
      <xdr:rowOff>127000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1EAB185-C47D-429F-BC7E-7E9E91E59E15}"/>
            </a:ext>
            <a:ext uri="{147F2762-F138-4A5C-976F-8EAC2B608ADB}">
              <a16:predDERef xmlns:a16="http://schemas.microsoft.com/office/drawing/2014/main" pred="{87D359F6-B66C-41E8-9329-83CB9B1889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231774</xdr:colOff>
      <xdr:row>25</xdr:row>
      <xdr:rowOff>50800</xdr:rowOff>
    </xdr:from>
    <xdr:to>
      <xdr:col>10</xdr:col>
      <xdr:colOff>571500</xdr:colOff>
      <xdr:row>44</xdr:row>
      <xdr:rowOff>88900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39D8682-2701-44F3-BAA1-5FB70074AEF3}"/>
            </a:ext>
            <a:ext uri="{147F2762-F138-4A5C-976F-8EAC2B608ADB}">
              <a16:predDERef xmlns:a16="http://schemas.microsoft.com/office/drawing/2014/main" pred="{1986DC19-4A66-45D1-A7C0-B10CA40DA1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31750</xdr:colOff>
      <xdr:row>25</xdr:row>
      <xdr:rowOff>38100</xdr:rowOff>
    </xdr:from>
    <xdr:to>
      <xdr:col>19</xdr:col>
      <xdr:colOff>476250</xdr:colOff>
      <xdr:row>44</xdr:row>
      <xdr:rowOff>107950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EDC8C93-41A8-41A2-9B48-7330D5CA650D}"/>
            </a:ext>
            <a:ext uri="{147F2762-F138-4A5C-976F-8EAC2B608ADB}">
              <a16:predDERef xmlns:a16="http://schemas.microsoft.com/office/drawing/2014/main" pred="{2AAE1F5C-2337-46D1-93A0-8786D88720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63500</xdr:colOff>
      <xdr:row>46</xdr:row>
      <xdr:rowOff>25400</xdr:rowOff>
    </xdr:from>
    <xdr:to>
      <xdr:col>19</xdr:col>
      <xdr:colOff>501650</xdr:colOff>
      <xdr:row>62</xdr:row>
      <xdr:rowOff>6350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E46D3B36-22C2-4786-ACCF-099D046AEBB4}"/>
            </a:ext>
            <a:ext uri="{147F2762-F138-4A5C-976F-8EAC2B608ADB}">
              <a16:predDERef xmlns:a16="http://schemas.microsoft.com/office/drawing/2014/main" pred="{65EE46B8-B369-4CBF-9A6F-A9425470F9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260350</xdr:colOff>
      <xdr:row>64</xdr:row>
      <xdr:rowOff>44450</xdr:rowOff>
    </xdr:from>
    <xdr:to>
      <xdr:col>10</xdr:col>
      <xdr:colOff>596900</xdr:colOff>
      <xdr:row>79</xdr:row>
      <xdr:rowOff>25400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779BE7CE-545B-4071-BBC3-77D360327F55}"/>
            </a:ext>
            <a:ext uri="{147F2762-F138-4A5C-976F-8EAC2B608ADB}">
              <a16:predDERef xmlns:a16="http://schemas.microsoft.com/office/drawing/2014/main" pred="{A8F4E505-EDAF-4114-B435-861544D0DD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222250</xdr:colOff>
      <xdr:row>64</xdr:row>
      <xdr:rowOff>50800</xdr:rowOff>
    </xdr:from>
    <xdr:to>
      <xdr:col>19</xdr:col>
      <xdr:colOff>501650</xdr:colOff>
      <xdr:row>79</xdr:row>
      <xdr:rowOff>31750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97C5ECE7-E610-4137-8116-C32D3D3BD024}"/>
            </a:ext>
            <a:ext uri="{147F2762-F138-4A5C-976F-8EAC2B608ADB}">
              <a16:predDERef xmlns:a16="http://schemas.microsoft.com/office/drawing/2014/main" pred="{69F670C1-72A1-4CF9-8BE0-2041833636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279400</xdr:colOff>
      <xdr:row>46</xdr:row>
      <xdr:rowOff>38100</xdr:rowOff>
    </xdr:from>
    <xdr:to>
      <xdr:col>10</xdr:col>
      <xdr:colOff>596900</xdr:colOff>
      <xdr:row>62</xdr:row>
      <xdr:rowOff>6350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2BDEFC12-2ED7-43C3-897A-AF50882B166F}"/>
            </a:ext>
            <a:ext uri="{147F2762-F138-4A5C-976F-8EAC2B608ADB}">
              <a16:predDERef xmlns:a16="http://schemas.microsoft.com/office/drawing/2014/main" pred="{5DD93C47-AA87-4AE6-9AD2-EE67F7DA6E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11</xdr:col>
      <xdr:colOff>152400</xdr:colOff>
      <xdr:row>81</xdr:row>
      <xdr:rowOff>90487</xdr:rowOff>
    </xdr:from>
    <xdr:to>
      <xdr:col>18</xdr:col>
      <xdr:colOff>314325</xdr:colOff>
      <xdr:row>96</xdr:row>
      <xdr:rowOff>119062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2EAD71D0-4802-45CA-B388-671C95076580}"/>
            </a:ext>
            <a:ext uri="{147F2762-F138-4A5C-976F-8EAC2B608ADB}">
              <a16:predDERef xmlns:a16="http://schemas.microsoft.com/office/drawing/2014/main" pred="{8A175AB6-E609-4EA6-911C-D6294E90BE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263524</xdr:colOff>
      <xdr:row>81</xdr:row>
      <xdr:rowOff>95250</xdr:rowOff>
    </xdr:from>
    <xdr:to>
      <xdr:col>10</xdr:col>
      <xdr:colOff>565149</xdr:colOff>
      <xdr:row>96</xdr:row>
      <xdr:rowOff>139700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553FC668-8ACE-43D4-BCA0-5D740EBE7FCF}"/>
            </a:ext>
            <a:ext uri="{147F2762-F138-4A5C-976F-8EAC2B608ADB}">
              <a16:predDERef xmlns:a16="http://schemas.microsoft.com/office/drawing/2014/main" pred="{198904A4-AEA7-4F30-BB8B-D842F9D46B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14</xdr:col>
      <xdr:colOff>407352</xdr:colOff>
      <xdr:row>136</xdr:row>
      <xdr:rowOff>113349</xdr:rowOff>
    </xdr:from>
    <xdr:to>
      <xdr:col>25</xdr:col>
      <xdr:colOff>601504</xdr:colOff>
      <xdr:row>156</xdr:row>
      <xdr:rowOff>86838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C651626F-EDA3-4DEB-B908-2D7F347B9EE3}"/>
            </a:ext>
            <a:ext uri="{147F2762-F138-4A5C-976F-8EAC2B608ADB}">
              <a16:predDERef xmlns:a16="http://schemas.microsoft.com/office/drawing/2014/main" pred="{183ABB1C-F381-46E0-8BF2-34F3E8BA15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460534</xdr:colOff>
      <xdr:row>351</xdr:row>
      <xdr:rowOff>150733</xdr:rowOff>
    </xdr:from>
    <xdr:to>
      <xdr:col>21</xdr:col>
      <xdr:colOff>392668</xdr:colOff>
      <xdr:row>367</xdr:row>
      <xdr:rowOff>10319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F8FA3428-66F8-4891-8E58-5486EE2FB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22</xdr:col>
      <xdr:colOff>80963</xdr:colOff>
      <xdr:row>351</xdr:row>
      <xdr:rowOff>159782</xdr:rowOff>
    </xdr:from>
    <xdr:to>
      <xdr:col>31</xdr:col>
      <xdr:colOff>40005</xdr:colOff>
      <xdr:row>367</xdr:row>
      <xdr:rowOff>6509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BF5765A7-2A20-42C9-9E98-DB8AA13EC7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11</xdr:col>
      <xdr:colOff>204310</xdr:colOff>
      <xdr:row>285</xdr:row>
      <xdr:rowOff>58343</xdr:rowOff>
    </xdr:from>
    <xdr:to>
      <xdr:col>18</xdr:col>
      <xdr:colOff>173832</xdr:colOff>
      <xdr:row>299</xdr:row>
      <xdr:rowOff>19367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3444598F-78AD-4AC4-A35B-30B18B3AB2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15</xdr:col>
      <xdr:colOff>317659</xdr:colOff>
      <xdr:row>300</xdr:row>
      <xdr:rowOff>313848</xdr:rowOff>
    </xdr:from>
    <xdr:to>
      <xdr:col>23</xdr:col>
      <xdr:colOff>295751</xdr:colOff>
      <xdr:row>319</xdr:row>
      <xdr:rowOff>41434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8D07B6E8-3A49-46C8-8B28-C28131690E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14</xdr:col>
      <xdr:colOff>441244</xdr:colOff>
      <xdr:row>328</xdr:row>
      <xdr:rowOff>119062</xdr:rowOff>
    </xdr:from>
    <xdr:to>
      <xdr:col>25</xdr:col>
      <xdr:colOff>369093</xdr:colOff>
      <xdr:row>349</xdr:row>
      <xdr:rowOff>124857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18261DE0-3D91-421F-BDC2-F822C7A7FA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5</xdr:col>
      <xdr:colOff>402669</xdr:colOff>
      <xdr:row>300</xdr:row>
      <xdr:rowOff>285511</xdr:rowOff>
    </xdr:from>
    <xdr:to>
      <xdr:col>14</xdr:col>
      <xdr:colOff>452437</xdr:colOff>
      <xdr:row>318</xdr:row>
      <xdr:rowOff>169863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8C4F3B9C-D857-4F2E-9F8B-812109F20A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13</xdr:col>
      <xdr:colOff>412909</xdr:colOff>
      <xdr:row>369</xdr:row>
      <xdr:rowOff>98822</xdr:rowOff>
    </xdr:from>
    <xdr:to>
      <xdr:col>21</xdr:col>
      <xdr:colOff>380999</xdr:colOff>
      <xdr:row>385</xdr:row>
      <xdr:rowOff>53181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59C50C43-8993-48AA-A0AE-4E2A194B64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22</xdr:col>
      <xdr:colOff>83345</xdr:colOff>
      <xdr:row>369</xdr:row>
      <xdr:rowOff>69294</xdr:rowOff>
    </xdr:from>
    <xdr:to>
      <xdr:col>31</xdr:col>
      <xdr:colOff>0</xdr:colOff>
      <xdr:row>385</xdr:row>
      <xdr:rowOff>106362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9C440924-5C45-45AA-A80F-F09F0DDF36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8</xdr:row>
      <xdr:rowOff>28574</xdr:rowOff>
    </xdr:from>
    <xdr:to>
      <xdr:col>9</xdr:col>
      <xdr:colOff>38100</xdr:colOff>
      <xdr:row>22</xdr:row>
      <xdr:rowOff>133349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EE84EF3-2C24-4DDF-9372-25E44AB9EB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22224</xdr:colOff>
      <xdr:row>8</xdr:row>
      <xdr:rowOff>31750</xdr:rowOff>
    </xdr:from>
    <xdr:to>
      <xdr:col>18</xdr:col>
      <xdr:colOff>260350</xdr:colOff>
      <xdr:row>22</xdr:row>
      <xdr:rowOff>127000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E8181D1-CA4D-4D02-9713-3C50DA5A0E8E}"/>
            </a:ext>
            <a:ext uri="{147F2762-F138-4A5C-976F-8EAC2B608ADB}">
              <a16:predDERef xmlns:a16="http://schemas.microsoft.com/office/drawing/2014/main" pred="{643DAE66-547C-48C5-B81D-B5C5A39B60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231774</xdr:colOff>
      <xdr:row>24</xdr:row>
      <xdr:rowOff>50800</xdr:rowOff>
    </xdr:from>
    <xdr:to>
      <xdr:col>9</xdr:col>
      <xdr:colOff>66675</xdr:colOff>
      <xdr:row>43</xdr:row>
      <xdr:rowOff>88900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25A2EA4-740A-4C3D-AB1E-0332E37609B0}"/>
            </a:ext>
            <a:ext uri="{147F2762-F138-4A5C-976F-8EAC2B608ADB}">
              <a16:predDERef xmlns:a16="http://schemas.microsoft.com/office/drawing/2014/main" pred="{9704633E-48D7-9123-D54F-8E37207AC2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31750</xdr:colOff>
      <xdr:row>24</xdr:row>
      <xdr:rowOff>38100</xdr:rowOff>
    </xdr:from>
    <xdr:to>
      <xdr:col>18</xdr:col>
      <xdr:colOff>247650</xdr:colOff>
      <xdr:row>43</xdr:row>
      <xdr:rowOff>107950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AACC2CD9-FFA8-4A84-8779-B78CDFEF7BD9}"/>
            </a:ext>
            <a:ext uri="{147F2762-F138-4A5C-976F-8EAC2B608ADB}">
              <a16:predDERef xmlns:a16="http://schemas.microsoft.com/office/drawing/2014/main" pred="{AAEFC104-DF78-8827-34FF-DE09921D78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63500</xdr:colOff>
      <xdr:row>45</xdr:row>
      <xdr:rowOff>25400</xdr:rowOff>
    </xdr:from>
    <xdr:to>
      <xdr:col>18</xdr:col>
      <xdr:colOff>273050</xdr:colOff>
      <xdr:row>61</xdr:row>
      <xdr:rowOff>6350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AD2BD26F-0BD3-40E8-9A79-14601D05B1D1}"/>
            </a:ext>
            <a:ext uri="{147F2762-F138-4A5C-976F-8EAC2B608ADB}">
              <a16:predDERef xmlns:a16="http://schemas.microsoft.com/office/drawing/2014/main" pred="{F03543EB-3314-4C70-AD88-BBD9241C1A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260350</xdr:colOff>
      <xdr:row>63</xdr:row>
      <xdr:rowOff>44450</xdr:rowOff>
    </xdr:from>
    <xdr:to>
      <xdr:col>9</xdr:col>
      <xdr:colOff>92075</xdr:colOff>
      <xdr:row>78</xdr:row>
      <xdr:rowOff>25400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5A22DF3D-3EAB-461E-B985-4944E0B8012F}"/>
            </a:ext>
            <a:ext uri="{147F2762-F138-4A5C-976F-8EAC2B608ADB}">
              <a16:predDERef xmlns:a16="http://schemas.microsoft.com/office/drawing/2014/main" pred="{C49497F9-C288-4970-A213-ACD18FA4FB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10</xdr:col>
      <xdr:colOff>222250</xdr:colOff>
      <xdr:row>63</xdr:row>
      <xdr:rowOff>50800</xdr:rowOff>
    </xdr:from>
    <xdr:to>
      <xdr:col>18</xdr:col>
      <xdr:colOff>273050</xdr:colOff>
      <xdr:row>78</xdr:row>
      <xdr:rowOff>31750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EF70AFE3-9335-4201-9913-CE20EFB0C03D}"/>
            </a:ext>
            <a:ext uri="{147F2762-F138-4A5C-976F-8EAC2B608ADB}">
              <a16:predDERef xmlns:a16="http://schemas.microsoft.com/office/drawing/2014/main" pred="{7DAFB824-87C0-4FFC-9059-D2786E9CCD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279400</xdr:colOff>
      <xdr:row>45</xdr:row>
      <xdr:rowOff>38100</xdr:rowOff>
    </xdr:from>
    <xdr:to>
      <xdr:col>9</xdr:col>
      <xdr:colOff>92075</xdr:colOff>
      <xdr:row>61</xdr:row>
      <xdr:rowOff>6350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C291CC9C-ACED-4150-94EC-533FCDDB23C7}"/>
            </a:ext>
            <a:ext uri="{147F2762-F138-4A5C-976F-8EAC2B608ADB}">
              <a16:predDERef xmlns:a16="http://schemas.microsoft.com/office/drawing/2014/main" pred="{616709E9-B920-4B42-9268-A994961DB8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10</xdr:col>
      <xdr:colOff>152400</xdr:colOff>
      <xdr:row>80</xdr:row>
      <xdr:rowOff>90487</xdr:rowOff>
    </xdr:from>
    <xdr:to>
      <xdr:col>17</xdr:col>
      <xdr:colOff>85725</xdr:colOff>
      <xdr:row>95</xdr:row>
      <xdr:rowOff>119062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4CB01BCC-1D27-4E94-BCB4-7D5EF4ECD8CD}"/>
            </a:ext>
            <a:ext uri="{147F2762-F138-4A5C-976F-8EAC2B608ADB}">
              <a16:predDERef xmlns:a16="http://schemas.microsoft.com/office/drawing/2014/main" pred="{E5C11B0F-7543-4407-919E-7AF1CB0839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263524</xdr:colOff>
      <xdr:row>80</xdr:row>
      <xdr:rowOff>95250</xdr:rowOff>
    </xdr:from>
    <xdr:to>
      <xdr:col>9</xdr:col>
      <xdr:colOff>60324</xdr:colOff>
      <xdr:row>95</xdr:row>
      <xdr:rowOff>139700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5104E09B-94DB-44C8-8F92-5DA2EEE6B78C}"/>
            </a:ext>
            <a:ext uri="{147F2762-F138-4A5C-976F-8EAC2B608ADB}">
              <a16:predDERef xmlns:a16="http://schemas.microsoft.com/office/drawing/2014/main" pred="{F4BA0E2A-2A35-C545-155D-65A6B5C30F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15</xdr:col>
      <xdr:colOff>180076</xdr:colOff>
      <xdr:row>136</xdr:row>
      <xdr:rowOff>56145</xdr:rowOff>
    </xdr:from>
    <xdr:to>
      <xdr:col>25</xdr:col>
      <xdr:colOff>241933</xdr:colOff>
      <xdr:row>156</xdr:row>
      <xdr:rowOff>94244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2032D45F-373B-4781-930A-CCFF5B0F4882}"/>
            </a:ext>
            <a:ext uri="{147F2762-F138-4A5C-976F-8EAC2B608ADB}">
              <a16:predDERef xmlns:a16="http://schemas.microsoft.com/office/drawing/2014/main" pred="{183ABB1C-F381-46E0-8BF2-34F3E8BA15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270034</xdr:colOff>
      <xdr:row>358</xdr:row>
      <xdr:rowOff>86916</xdr:rowOff>
    </xdr:from>
    <xdr:to>
      <xdr:col>20</xdr:col>
      <xdr:colOff>460534</xdr:colOff>
      <xdr:row>370</xdr:row>
      <xdr:rowOff>118348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A3EBDFD9-9756-4AC9-8515-8F07CA5B9E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21</xdr:col>
      <xdr:colOff>135255</xdr:colOff>
      <xdr:row>358</xdr:row>
      <xdr:rowOff>71437</xdr:rowOff>
    </xdr:from>
    <xdr:to>
      <xdr:col>28</xdr:col>
      <xdr:colOff>460534</xdr:colOff>
      <xdr:row>370</xdr:row>
      <xdr:rowOff>128350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CF13CD6-AD1E-4BBC-AE7D-7CB7F36185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11</xdr:col>
      <xdr:colOff>430325</xdr:colOff>
      <xdr:row>285</xdr:row>
      <xdr:rowOff>20546</xdr:rowOff>
    </xdr:from>
    <xdr:to>
      <xdr:col>18</xdr:col>
      <xdr:colOff>323850</xdr:colOff>
      <xdr:row>299</xdr:row>
      <xdr:rowOff>116681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7A8219FE-ACF8-49BD-B44A-FF513D20FD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15</xdr:col>
      <xdr:colOff>208600</xdr:colOff>
      <xdr:row>317</xdr:row>
      <xdr:rowOff>176688</xdr:rowOff>
    </xdr:from>
    <xdr:to>
      <xdr:col>22</xdr:col>
      <xdr:colOff>285751</xdr:colOff>
      <xdr:row>331</xdr:row>
      <xdr:rowOff>125411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8EBAEE4F-6200-44EB-B075-2E2C7F3520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15</xdr:col>
      <xdr:colOff>237784</xdr:colOff>
      <xdr:row>336</xdr:row>
      <xdr:rowOff>46740</xdr:rowOff>
    </xdr:from>
    <xdr:to>
      <xdr:col>26</xdr:col>
      <xdr:colOff>37625</xdr:colOff>
      <xdr:row>357</xdr:row>
      <xdr:rowOff>82231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5C8051A4-7AFE-4E9B-88B8-2F08E10C9B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5</xdr:col>
      <xdr:colOff>360997</xdr:colOff>
      <xdr:row>303</xdr:row>
      <xdr:rowOff>19287</xdr:rowOff>
    </xdr:from>
    <xdr:to>
      <xdr:col>12</xdr:col>
      <xdr:colOff>540543</xdr:colOff>
      <xdr:row>321</xdr:row>
      <xdr:rowOff>107156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B0A17642-D5B9-45BC-9E9A-45A9DFD5A9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21</xdr:col>
      <xdr:colOff>180736</xdr:colOff>
      <xdr:row>372</xdr:row>
      <xdr:rowOff>83105</xdr:rowOff>
    </xdr:from>
    <xdr:to>
      <xdr:col>28</xdr:col>
      <xdr:colOff>502205</xdr:colOff>
      <xdr:row>382</xdr:row>
      <xdr:rowOff>166608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7A4BCBD0-8CD4-46BF-9268-32E8B11C52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13</xdr:col>
      <xdr:colOff>283845</xdr:colOff>
      <xdr:row>372</xdr:row>
      <xdr:rowOff>95011</xdr:rowOff>
    </xdr:from>
    <xdr:to>
      <xdr:col>20</xdr:col>
      <xdr:colOff>474345</xdr:colOff>
      <xdr:row>382</xdr:row>
      <xdr:rowOff>178514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07E41F71-B58A-4E2C-9A1A-ABC0651884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311040</xdr:colOff>
      <xdr:row>70</xdr:row>
      <xdr:rowOff>106200</xdr:rowOff>
    </xdr:from>
    <xdr:to>
      <xdr:col>21</xdr:col>
      <xdr:colOff>5400</xdr:colOff>
      <xdr:row>85</xdr:row>
      <xdr:rowOff>140400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85680</xdr:colOff>
      <xdr:row>55</xdr:row>
      <xdr:rowOff>31680</xdr:rowOff>
    </xdr:from>
    <xdr:to>
      <xdr:col>13</xdr:col>
      <xdr:colOff>389880</xdr:colOff>
      <xdr:row>68</xdr:row>
      <xdr:rowOff>157930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7</xdr:col>
      <xdr:colOff>282600</xdr:colOff>
      <xdr:row>141</xdr:row>
      <xdr:rowOff>66600</xdr:rowOff>
    </xdr:from>
    <xdr:to>
      <xdr:col>14</xdr:col>
      <xdr:colOff>567750</xdr:colOff>
      <xdr:row>156</xdr:row>
      <xdr:rowOff>46800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6</xdr:col>
      <xdr:colOff>250920</xdr:colOff>
      <xdr:row>197</xdr:row>
      <xdr:rowOff>133200</xdr:rowOff>
    </xdr:from>
    <xdr:to>
      <xdr:col>13</xdr:col>
      <xdr:colOff>555120</xdr:colOff>
      <xdr:row>212</xdr:row>
      <xdr:rowOff>113400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552450</xdr:colOff>
      <xdr:row>15</xdr:row>
      <xdr:rowOff>47625</xdr:rowOff>
    </xdr:from>
    <xdr:to>
      <xdr:col>5</xdr:col>
      <xdr:colOff>475505</xdr:colOff>
      <xdr:row>30</xdr:row>
      <xdr:rowOff>113655</xdr:rowOff>
    </xdr:to>
    <xdr:graphicFrame macro="">
      <xdr:nvGraphicFramePr>
        <xdr:cNvPr id="10" name="Chart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</xdr:col>
      <xdr:colOff>292215</xdr:colOff>
      <xdr:row>25</xdr:row>
      <xdr:rowOff>109440</xdr:rowOff>
    </xdr:from>
    <xdr:to>
      <xdr:col>5</xdr:col>
      <xdr:colOff>158025</xdr:colOff>
      <xdr:row>40</xdr:row>
      <xdr:rowOff>3960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7</xdr:col>
      <xdr:colOff>361935</xdr:colOff>
      <xdr:row>27</xdr:row>
      <xdr:rowOff>64980</xdr:rowOff>
    </xdr:from>
    <xdr:to>
      <xdr:col>15</xdr:col>
      <xdr:colOff>94635</xdr:colOff>
      <xdr:row>41</xdr:row>
      <xdr:rowOff>140640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1</xdr:col>
      <xdr:colOff>422100</xdr:colOff>
      <xdr:row>31</xdr:row>
      <xdr:rowOff>179565</xdr:rowOff>
    </xdr:from>
    <xdr:to>
      <xdr:col>5</xdr:col>
      <xdr:colOff>287910</xdr:colOff>
      <xdr:row>46</xdr:row>
      <xdr:rowOff>64665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</xdr:col>
      <xdr:colOff>1470025</xdr:colOff>
      <xdr:row>37</xdr:row>
      <xdr:rowOff>82550</xdr:rowOff>
    </xdr:from>
    <xdr:to>
      <xdr:col>9</xdr:col>
      <xdr:colOff>250825</xdr:colOff>
      <xdr:row>52</xdr:row>
      <xdr:rowOff>63500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5472D092-AEF6-DA04-19C6-E63D83CBA8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311040</xdr:colOff>
      <xdr:row>70</xdr:row>
      <xdr:rowOff>106200</xdr:rowOff>
    </xdr:from>
    <xdr:to>
      <xdr:col>21</xdr:col>
      <xdr:colOff>5400</xdr:colOff>
      <xdr:row>85</xdr:row>
      <xdr:rowOff>140400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85680</xdr:colOff>
      <xdr:row>55</xdr:row>
      <xdr:rowOff>31680</xdr:rowOff>
    </xdr:from>
    <xdr:to>
      <xdr:col>13</xdr:col>
      <xdr:colOff>389880</xdr:colOff>
      <xdr:row>68</xdr:row>
      <xdr:rowOff>157930</xdr:rowOff>
    </xdr:to>
    <xdr:graphicFrame macro="">
      <xdr:nvGraphicFramePr>
        <xdr:cNvPr id="9" name="Chart 2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7</xdr:col>
      <xdr:colOff>282600</xdr:colOff>
      <xdr:row>141</xdr:row>
      <xdr:rowOff>66600</xdr:rowOff>
    </xdr:from>
    <xdr:to>
      <xdr:col>14</xdr:col>
      <xdr:colOff>567750</xdr:colOff>
      <xdr:row>156</xdr:row>
      <xdr:rowOff>46800</xdr:rowOff>
    </xdr:to>
    <xdr:graphicFrame macro="">
      <xdr:nvGraphicFramePr>
        <xdr:cNvPr id="10" name="Chart 3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6</xdr:col>
      <xdr:colOff>250920</xdr:colOff>
      <xdr:row>197</xdr:row>
      <xdr:rowOff>133200</xdr:rowOff>
    </xdr:from>
    <xdr:to>
      <xdr:col>13</xdr:col>
      <xdr:colOff>555120</xdr:colOff>
      <xdr:row>212</xdr:row>
      <xdr:rowOff>113400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16</xdr:row>
      <xdr:rowOff>6480</xdr:rowOff>
    </xdr:from>
    <xdr:to>
      <xdr:col>4</xdr:col>
      <xdr:colOff>478800</xdr:colOff>
      <xdr:row>30</xdr:row>
      <xdr:rowOff>171000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5</xdr:col>
      <xdr:colOff>85680</xdr:colOff>
      <xdr:row>21</xdr:row>
      <xdr:rowOff>128520</xdr:rowOff>
    </xdr:from>
    <xdr:to>
      <xdr:col>12</xdr:col>
      <xdr:colOff>389880</xdr:colOff>
      <xdr:row>36</xdr:row>
      <xdr:rowOff>13680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12</xdr:col>
      <xdr:colOff>19080</xdr:colOff>
      <xdr:row>12</xdr:row>
      <xdr:rowOff>81000</xdr:rowOff>
    </xdr:from>
    <xdr:to>
      <xdr:col>19</xdr:col>
      <xdr:colOff>323280</xdr:colOff>
      <xdr:row>26</xdr:row>
      <xdr:rowOff>156600</xdr:rowOff>
    </xdr:to>
    <xdr:graphicFrame macro="">
      <xdr:nvGraphicFramePr>
        <xdr:cNvPr id="14" name="Chart 7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19</xdr:col>
      <xdr:colOff>571680</xdr:colOff>
      <xdr:row>12</xdr:row>
      <xdr:rowOff>36360</xdr:rowOff>
    </xdr:from>
    <xdr:to>
      <xdr:col>27</xdr:col>
      <xdr:colOff>266040</xdr:colOff>
      <xdr:row>26</xdr:row>
      <xdr:rowOff>111960</xdr:rowOff>
    </xdr:to>
    <xdr:graphicFrame macro="">
      <xdr:nvGraphicFramePr>
        <xdr:cNvPr id="15" name="Chart 8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311040</xdr:colOff>
      <xdr:row>70</xdr:row>
      <xdr:rowOff>106200</xdr:rowOff>
    </xdr:from>
    <xdr:to>
      <xdr:col>21</xdr:col>
      <xdr:colOff>5400</xdr:colOff>
      <xdr:row>85</xdr:row>
      <xdr:rowOff>140400</xdr:rowOff>
    </xdr:to>
    <xdr:graphicFrame macro="">
      <xdr:nvGraphicFramePr>
        <xdr:cNvPr id="16" name="Chart 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85680</xdr:colOff>
      <xdr:row>55</xdr:row>
      <xdr:rowOff>31680</xdr:rowOff>
    </xdr:from>
    <xdr:to>
      <xdr:col>13</xdr:col>
      <xdr:colOff>389880</xdr:colOff>
      <xdr:row>68</xdr:row>
      <xdr:rowOff>157930</xdr:rowOff>
    </xdr:to>
    <xdr:graphicFrame macro="">
      <xdr:nvGraphicFramePr>
        <xdr:cNvPr id="17" name="Chart 2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7</xdr:col>
      <xdr:colOff>282600</xdr:colOff>
      <xdr:row>141</xdr:row>
      <xdr:rowOff>66600</xdr:rowOff>
    </xdr:from>
    <xdr:to>
      <xdr:col>14</xdr:col>
      <xdr:colOff>567750</xdr:colOff>
      <xdr:row>156</xdr:row>
      <xdr:rowOff>46800</xdr:rowOff>
    </xdr:to>
    <xdr:graphicFrame macro="">
      <xdr:nvGraphicFramePr>
        <xdr:cNvPr id="18" name="Chart 3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6</xdr:col>
      <xdr:colOff>250920</xdr:colOff>
      <xdr:row>197</xdr:row>
      <xdr:rowOff>133200</xdr:rowOff>
    </xdr:from>
    <xdr:to>
      <xdr:col>13</xdr:col>
      <xdr:colOff>555120</xdr:colOff>
      <xdr:row>212</xdr:row>
      <xdr:rowOff>113400</xdr:rowOff>
    </xdr:to>
    <xdr:graphicFrame macro="">
      <xdr:nvGraphicFramePr>
        <xdr:cNvPr id="19" name="Chart 4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26</xdr:row>
      <xdr:rowOff>64440</xdr:rowOff>
    </xdr:from>
    <xdr:to>
      <xdr:col>4</xdr:col>
      <xdr:colOff>478800</xdr:colOff>
      <xdr:row>41</xdr:row>
      <xdr:rowOff>44640</xdr:rowOff>
    </xdr:to>
    <xdr:graphicFrame macro="">
      <xdr:nvGraphicFramePr>
        <xdr:cNvPr id="20" name="Chart 5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6</xdr:col>
      <xdr:colOff>405720</xdr:colOff>
      <xdr:row>6</xdr:row>
      <xdr:rowOff>86040</xdr:rowOff>
    </xdr:from>
    <xdr:to>
      <xdr:col>14</xdr:col>
      <xdr:colOff>73800</xdr:colOff>
      <xdr:row>20</xdr:row>
      <xdr:rowOff>161640</xdr:rowOff>
    </xdr:to>
    <xdr:graphicFrame macro="">
      <xdr:nvGraphicFramePr>
        <xdr:cNvPr id="21" name="Chart 6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6</xdr:col>
      <xdr:colOff>71640</xdr:colOff>
      <xdr:row>22</xdr:row>
      <xdr:rowOff>158040</xdr:rowOff>
    </xdr:from>
    <xdr:to>
      <xdr:col>13</xdr:col>
      <xdr:colOff>355680</xdr:colOff>
      <xdr:row>37</xdr:row>
      <xdr:rowOff>43200</xdr:rowOff>
    </xdr:to>
    <xdr:graphicFrame macro="">
      <xdr:nvGraphicFramePr>
        <xdr:cNvPr id="22" name="Chart 7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13</xdr:col>
      <xdr:colOff>389160</xdr:colOff>
      <xdr:row>22</xdr:row>
      <xdr:rowOff>144000</xdr:rowOff>
    </xdr:from>
    <xdr:to>
      <xdr:col>21</xdr:col>
      <xdr:colOff>57240</xdr:colOff>
      <xdr:row>37</xdr:row>
      <xdr:rowOff>29160</xdr:rowOff>
    </xdr:to>
    <xdr:graphicFrame macro="">
      <xdr:nvGraphicFramePr>
        <xdr:cNvPr id="23" name="Chart 8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42862</xdr:rowOff>
    </xdr:from>
    <xdr:to>
      <xdr:col>5</xdr:col>
      <xdr:colOff>323850</xdr:colOff>
      <xdr:row>22</xdr:row>
      <xdr:rowOff>119062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C42E3-7F9B-1DD8-7F8F-EA5C7A2EDFD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952500</xdr:colOff>
      <xdr:row>4</xdr:row>
      <xdr:rowOff>42862</xdr:rowOff>
    </xdr:from>
    <xdr:to>
      <xdr:col>9</xdr:col>
      <xdr:colOff>104775</xdr:colOff>
      <xdr:row>18</xdr:row>
      <xdr:rowOff>119062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A7AAE89-6A07-FD84-511D-21052508630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114299</xdr:colOff>
      <xdr:row>3</xdr:row>
      <xdr:rowOff>123825</xdr:rowOff>
    </xdr:from>
    <xdr:to>
      <xdr:col>21</xdr:col>
      <xdr:colOff>171449</xdr:colOff>
      <xdr:row>22</xdr:row>
      <xdr:rowOff>128587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C79CAD0-F313-8C43-E8FA-2B90F84CF31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68</xdr:row>
      <xdr:rowOff>147637</xdr:rowOff>
    </xdr:from>
    <xdr:to>
      <xdr:col>5</xdr:col>
      <xdr:colOff>323850</xdr:colOff>
      <xdr:row>83</xdr:row>
      <xdr:rowOff>33337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12904A95-9E9B-1080-E8F1-30A443BE7F3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381000</xdr:colOff>
      <xdr:row>70</xdr:row>
      <xdr:rowOff>90487</xdr:rowOff>
    </xdr:from>
    <xdr:to>
      <xdr:col>11</xdr:col>
      <xdr:colOff>1714500</xdr:colOff>
      <xdr:row>84</xdr:row>
      <xdr:rowOff>166687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81FD8B84-817D-8AAD-7CFD-5A9A7BFD8A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495300</xdr:colOff>
      <xdr:row>66</xdr:row>
      <xdr:rowOff>185737</xdr:rowOff>
    </xdr:from>
    <xdr:to>
      <xdr:col>22</xdr:col>
      <xdr:colOff>323850</xdr:colOff>
      <xdr:row>81</xdr:row>
      <xdr:rowOff>71437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D0D4A995-7FDB-BE66-C249-20636062680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38</xdr:row>
      <xdr:rowOff>109537</xdr:rowOff>
    </xdr:from>
    <xdr:to>
      <xdr:col>5</xdr:col>
      <xdr:colOff>323850</xdr:colOff>
      <xdr:row>53</xdr:row>
      <xdr:rowOff>1587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8A5FFD75-EB63-CC94-D26E-1B61BBBE414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</xdr:col>
      <xdr:colOff>257175</xdr:colOff>
      <xdr:row>39</xdr:row>
      <xdr:rowOff>52387</xdr:rowOff>
    </xdr:from>
    <xdr:to>
      <xdr:col>12</xdr:col>
      <xdr:colOff>438150</xdr:colOff>
      <xdr:row>53</xdr:row>
      <xdr:rowOff>128587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CE3733C3-C53B-8657-3DD8-2D486E5A05F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15</xdr:col>
      <xdr:colOff>57150</xdr:colOff>
      <xdr:row>38</xdr:row>
      <xdr:rowOff>128587</xdr:rowOff>
    </xdr:from>
    <xdr:to>
      <xdr:col>20</xdr:col>
      <xdr:colOff>676275</xdr:colOff>
      <xdr:row>53</xdr:row>
      <xdr:rowOff>14287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9ECCFA93-4E18-0273-D806-1A557894B0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190500</xdr:colOff>
      <xdr:row>32</xdr:row>
      <xdr:rowOff>127000</xdr:rowOff>
    </xdr:from>
    <xdr:to>
      <xdr:col>21</xdr:col>
      <xdr:colOff>152400</xdr:colOff>
      <xdr:row>48</xdr:row>
      <xdr:rowOff>69850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B69B4A7-091B-0ACF-7D3E-C73B33F30BE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32</xdr:row>
      <xdr:rowOff>94192</xdr:rowOff>
    </xdr:from>
    <xdr:to>
      <xdr:col>13</xdr:col>
      <xdr:colOff>495300</xdr:colOff>
      <xdr:row>46</xdr:row>
      <xdr:rowOff>170392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46F79B2-CE68-E5D0-00D5-240DB3960DB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390525</xdr:colOff>
      <xdr:row>32</xdr:row>
      <xdr:rowOff>153458</xdr:rowOff>
    </xdr:from>
    <xdr:to>
      <xdr:col>28</xdr:col>
      <xdr:colOff>104775</xdr:colOff>
      <xdr:row>47</xdr:row>
      <xdr:rowOff>39158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63F20A5-5DDC-93A1-B549-3DE5276258F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391584</xdr:colOff>
      <xdr:row>33</xdr:row>
      <xdr:rowOff>25400</xdr:rowOff>
    </xdr:from>
    <xdr:to>
      <xdr:col>21</xdr:col>
      <xdr:colOff>391584</xdr:colOff>
      <xdr:row>47</xdr:row>
      <xdr:rowOff>158750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4E8C8AE-3820-4396-4F97-3CD2262FB0F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21167</xdr:colOff>
      <xdr:row>32</xdr:row>
      <xdr:rowOff>67733</xdr:rowOff>
    </xdr:from>
    <xdr:to>
      <xdr:col>13</xdr:col>
      <xdr:colOff>21167</xdr:colOff>
      <xdr:row>46</xdr:row>
      <xdr:rowOff>143933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1F83921-BDB0-E2EA-45FC-0CF355D6361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22</xdr:col>
      <xdr:colOff>127001</xdr:colOff>
      <xdr:row>32</xdr:row>
      <xdr:rowOff>162984</xdr:rowOff>
    </xdr:from>
    <xdr:to>
      <xdr:col>36</xdr:col>
      <xdr:colOff>127001</xdr:colOff>
      <xdr:row>47</xdr:row>
      <xdr:rowOff>48684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13084CD1-11A3-CF12-7D70-C0E44988B5D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0</xdr:colOff>
      <xdr:row>32</xdr:row>
      <xdr:rowOff>173232</xdr:rowOff>
    </xdr:from>
    <xdr:to>
      <xdr:col>34</xdr:col>
      <xdr:colOff>570859</xdr:colOff>
      <xdr:row>47</xdr:row>
      <xdr:rowOff>67494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425D11B4-CFE6-A8DF-020E-3FC8F2B705C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35</xdr:col>
      <xdr:colOff>261136</xdr:colOff>
      <xdr:row>32</xdr:row>
      <xdr:rowOff>137418</xdr:rowOff>
    </xdr:from>
    <xdr:to>
      <xdr:col>43</xdr:col>
      <xdr:colOff>295383</xdr:colOff>
      <xdr:row>46</xdr:row>
      <xdr:rowOff>183651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84E06C0-2F87-442F-7571-3409DF6B830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496584</xdr:colOff>
      <xdr:row>32</xdr:row>
      <xdr:rowOff>73204</xdr:rowOff>
    </xdr:from>
    <xdr:to>
      <xdr:col>20</xdr:col>
      <xdr:colOff>530831</xdr:colOff>
      <xdr:row>46</xdr:row>
      <xdr:rowOff>119437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4DC9FC1-B629-EAA7-865C-7EBB327C458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164815</xdr:colOff>
      <xdr:row>32</xdr:row>
      <xdr:rowOff>62502</xdr:rowOff>
    </xdr:from>
    <xdr:to>
      <xdr:col>12</xdr:col>
      <xdr:colOff>199062</xdr:colOff>
      <xdr:row>46</xdr:row>
      <xdr:rowOff>108735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C8BBA0FE-132F-392E-7E93-A52C99795A8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357454</xdr:colOff>
      <xdr:row>32</xdr:row>
      <xdr:rowOff>51799</xdr:rowOff>
    </xdr:from>
    <xdr:to>
      <xdr:col>29</xdr:col>
      <xdr:colOff>0</xdr:colOff>
      <xdr:row>46</xdr:row>
      <xdr:rowOff>98032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EB19F81A-BF89-BA2B-2922-01274AF4728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119</xdr:col>
      <xdr:colOff>223712</xdr:colOff>
      <xdr:row>14</xdr:row>
      <xdr:rowOff>160588</xdr:rowOff>
    </xdr:from>
    <xdr:to>
      <xdr:col>125</xdr:col>
      <xdr:colOff>359068</xdr:colOff>
      <xdr:row>25</xdr:row>
      <xdr:rowOff>140201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70D40D1-2AEF-7E3F-8814-B9C41F1C721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55</xdr:col>
      <xdr:colOff>641265</xdr:colOff>
      <xdr:row>37</xdr:row>
      <xdr:rowOff>129325</xdr:rowOff>
    </xdr:from>
    <xdr:to>
      <xdr:col>62</xdr:col>
      <xdr:colOff>88214</xdr:colOff>
      <xdr:row>52</xdr:row>
      <xdr:rowOff>127609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B1ED6579-E928-A0E2-40DD-0DD2EFA4F6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eiorg.sharepoint.com/sites/CEA-internal/Delade%20dokument/General/Sunly/Data/Estonia/Statistics%20estonian%20electricty%20past%20from%202000.xlsx" TargetMode="External"/><Relationship Id="rId1" Type="http://schemas.openxmlformats.org/officeDocument/2006/relationships/externalLinkPath" Target="https://seiorg.sharepoint.com/sites/CEA-internal/Delade%20dokument/General/Sunly/Data/Estonia/Statistics%20estonian%20electricty%20past%20from%2020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oduction and con. by fuels"/>
      <sheetName val="population"/>
      <sheetName val="Electr. balance sheet 2000-2016"/>
      <sheetName val="Ren energy consumption 99-2023"/>
      <sheetName val="cleaned version of sub sector"/>
      <sheetName val="FEC by subsector 1999-2018"/>
      <sheetName val="FEC by fuels"/>
      <sheetName val="production and con. by fuel (2)"/>
      <sheetName val="Monthly production"/>
      <sheetName val="Monthly production 2000-2024"/>
      <sheetName val="Final electricity consumption %"/>
      <sheetName val="Per capita"/>
      <sheetName val="check!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66">
          <cell r="H66" t="str">
            <v>Final consumption in railway transport</v>
          </cell>
        </row>
      </sheetData>
      <sheetData sheetId="6" refreshError="1"/>
      <sheetData sheetId="7" refreshError="1"/>
      <sheetData sheetId="8" refreshError="1"/>
      <sheetData sheetId="9">
        <row r="2">
          <cell r="B2" t="str">
            <v>2005 January</v>
          </cell>
          <cell r="C2" t="str">
            <v>2005 February</v>
          </cell>
          <cell r="D2" t="str">
            <v>2005 March</v>
          </cell>
          <cell r="E2" t="str">
            <v>2005 April</v>
          </cell>
          <cell r="F2" t="str">
            <v>2005 May</v>
          </cell>
          <cell r="G2" t="str">
            <v>2005 June</v>
          </cell>
          <cell r="H2" t="str">
            <v>2005 July</v>
          </cell>
          <cell r="I2" t="str">
            <v>2005 August</v>
          </cell>
          <cell r="J2" t="str">
            <v>2005 September</v>
          </cell>
          <cell r="K2" t="str">
            <v>2005 October</v>
          </cell>
          <cell r="L2" t="str">
            <v>2005 November</v>
          </cell>
          <cell r="M2" t="str">
            <v>2005 December</v>
          </cell>
          <cell r="N2" t="str">
            <v>2006 January</v>
          </cell>
          <cell r="O2" t="str">
            <v>2006 February</v>
          </cell>
          <cell r="P2" t="str">
            <v>2006 March</v>
          </cell>
          <cell r="Q2" t="str">
            <v>2006 April</v>
          </cell>
          <cell r="R2" t="str">
            <v>2006 May</v>
          </cell>
          <cell r="S2" t="str">
            <v>2006 June</v>
          </cell>
          <cell r="T2" t="str">
            <v>2006 July</v>
          </cell>
          <cell r="U2" t="str">
            <v>2006 August</v>
          </cell>
          <cell r="V2" t="str">
            <v>2006 September</v>
          </cell>
          <cell r="W2" t="str">
            <v>2006 October</v>
          </cell>
          <cell r="X2" t="str">
            <v>2006 November</v>
          </cell>
          <cell r="Y2" t="str">
            <v>2006 December</v>
          </cell>
          <cell r="Z2" t="str">
            <v>2007 January</v>
          </cell>
          <cell r="AA2" t="str">
            <v>2007 February</v>
          </cell>
          <cell r="AB2" t="str">
            <v>2007 March</v>
          </cell>
          <cell r="AC2" t="str">
            <v>2007 April</v>
          </cell>
          <cell r="AD2" t="str">
            <v>2007 May</v>
          </cell>
          <cell r="AE2" t="str">
            <v>2007 June</v>
          </cell>
          <cell r="AF2" t="str">
            <v>2007 July</v>
          </cell>
          <cell r="AG2" t="str">
            <v>2007 August</v>
          </cell>
          <cell r="AH2" t="str">
            <v>2007 September</v>
          </cell>
          <cell r="AI2" t="str">
            <v>2007 October</v>
          </cell>
          <cell r="AJ2" t="str">
            <v>2007 November</v>
          </cell>
          <cell r="AK2" t="str">
            <v>2007 December</v>
          </cell>
          <cell r="AL2" t="str">
            <v>2008 January</v>
          </cell>
          <cell r="AM2" t="str">
            <v>2008 February</v>
          </cell>
          <cell r="AN2" t="str">
            <v>2008 March</v>
          </cell>
          <cell r="AO2" t="str">
            <v>2008 April</v>
          </cell>
          <cell r="AP2" t="str">
            <v>2008 May</v>
          </cell>
          <cell r="AQ2" t="str">
            <v>2008 June</v>
          </cell>
          <cell r="AR2" t="str">
            <v>2008 July</v>
          </cell>
          <cell r="AS2" t="str">
            <v>2008 August</v>
          </cell>
          <cell r="AT2" t="str">
            <v>2008 September</v>
          </cell>
          <cell r="AU2" t="str">
            <v>2008 October</v>
          </cell>
          <cell r="AV2" t="str">
            <v>2008 November</v>
          </cell>
          <cell r="AW2" t="str">
            <v>2008 December</v>
          </cell>
          <cell r="AX2" t="str">
            <v>2009 January</v>
          </cell>
          <cell r="AY2" t="str">
            <v>2009 February</v>
          </cell>
          <cell r="AZ2" t="str">
            <v>2009 March</v>
          </cell>
          <cell r="BA2" t="str">
            <v>2009 April</v>
          </cell>
          <cell r="BB2" t="str">
            <v>2009 May</v>
          </cell>
          <cell r="BC2" t="str">
            <v>2009 June</v>
          </cell>
          <cell r="BD2" t="str">
            <v>2009 July</v>
          </cell>
          <cell r="BE2" t="str">
            <v>2009 August</v>
          </cell>
          <cell r="BF2" t="str">
            <v>2009 September</v>
          </cell>
          <cell r="BG2" t="str">
            <v>2009 October</v>
          </cell>
          <cell r="BH2" t="str">
            <v>2009 November</v>
          </cell>
          <cell r="BI2" t="str">
            <v>2009 December</v>
          </cell>
          <cell r="BJ2" t="str">
            <v>2010 January</v>
          </cell>
          <cell r="BK2" t="str">
            <v>2010 February</v>
          </cell>
          <cell r="BL2" t="str">
            <v>2010 March</v>
          </cell>
          <cell r="BM2" t="str">
            <v>2010 April</v>
          </cell>
          <cell r="BN2" t="str">
            <v>2010 May</v>
          </cell>
          <cell r="BO2" t="str">
            <v>2010 June</v>
          </cell>
          <cell r="BP2" t="str">
            <v>2010 July</v>
          </cell>
          <cell r="BQ2" t="str">
            <v>2010 August</v>
          </cell>
          <cell r="BR2" t="str">
            <v>2010 September</v>
          </cell>
          <cell r="BS2" t="str">
            <v>2010 October</v>
          </cell>
          <cell r="BT2" t="str">
            <v>2010 November</v>
          </cell>
          <cell r="BU2" t="str">
            <v>2010 December</v>
          </cell>
          <cell r="BV2" t="str">
            <v>2011 January</v>
          </cell>
          <cell r="BW2" t="str">
            <v>2011 February</v>
          </cell>
          <cell r="BX2" t="str">
            <v>2011 March</v>
          </cell>
          <cell r="BY2" t="str">
            <v>2011 April</v>
          </cell>
          <cell r="BZ2" t="str">
            <v>2011 May</v>
          </cell>
          <cell r="CA2" t="str">
            <v>2011 June</v>
          </cell>
          <cell r="CB2" t="str">
            <v>2011 July</v>
          </cell>
          <cell r="CC2" t="str">
            <v>2011 August</v>
          </cell>
          <cell r="CD2" t="str">
            <v>2011 September</v>
          </cell>
          <cell r="CE2" t="str">
            <v>2011 October</v>
          </cell>
          <cell r="CF2" t="str">
            <v>2011 November</v>
          </cell>
          <cell r="CG2" t="str">
            <v>2011 December</v>
          </cell>
          <cell r="CH2" t="str">
            <v>2012 January</v>
          </cell>
          <cell r="CI2" t="str">
            <v>2012 February</v>
          </cell>
          <cell r="CJ2" t="str">
            <v>2012 March</v>
          </cell>
          <cell r="CK2" t="str">
            <v>2012 April</v>
          </cell>
          <cell r="CL2" t="str">
            <v>2012 May</v>
          </cell>
          <cell r="CM2" t="str">
            <v>2012 June</v>
          </cell>
          <cell r="CN2" t="str">
            <v>2012 July</v>
          </cell>
          <cell r="CO2" t="str">
            <v>2012 August</v>
          </cell>
          <cell r="CP2" t="str">
            <v>2012 September</v>
          </cell>
          <cell r="CQ2" t="str">
            <v>2012 October</v>
          </cell>
          <cell r="CR2" t="str">
            <v>2012 November</v>
          </cell>
          <cell r="CS2" t="str">
            <v>2012 December</v>
          </cell>
          <cell r="CT2" t="str">
            <v>2013 January</v>
          </cell>
          <cell r="CU2" t="str">
            <v>2013 February</v>
          </cell>
          <cell r="CV2" t="str">
            <v>2013 March</v>
          </cell>
          <cell r="CW2" t="str">
            <v>2013 April</v>
          </cell>
          <cell r="CX2" t="str">
            <v>2013 May</v>
          </cell>
          <cell r="CY2" t="str">
            <v>2013 June</v>
          </cell>
          <cell r="CZ2" t="str">
            <v>2013 July</v>
          </cell>
          <cell r="DA2" t="str">
            <v>2013 August</v>
          </cell>
          <cell r="DB2" t="str">
            <v>2013 September</v>
          </cell>
          <cell r="DC2" t="str">
            <v>2013 October</v>
          </cell>
          <cell r="DD2" t="str">
            <v>2013 November</v>
          </cell>
          <cell r="DE2" t="str">
            <v>2013 December</v>
          </cell>
          <cell r="DF2" t="str">
            <v>2014 January</v>
          </cell>
          <cell r="DG2" t="str">
            <v>2014 February</v>
          </cell>
          <cell r="DH2" t="str">
            <v>2014 March</v>
          </cell>
          <cell r="DI2" t="str">
            <v>2014 April</v>
          </cell>
          <cell r="DJ2" t="str">
            <v>2014 May</v>
          </cell>
          <cell r="DK2" t="str">
            <v>2014 June</v>
          </cell>
          <cell r="DL2" t="str">
            <v>2014 July</v>
          </cell>
          <cell r="DM2" t="str">
            <v>2014 August</v>
          </cell>
          <cell r="DN2" t="str">
            <v>2014 September</v>
          </cell>
          <cell r="DO2" t="str">
            <v>2014 October</v>
          </cell>
          <cell r="DP2" t="str">
            <v>2014 November</v>
          </cell>
          <cell r="DQ2" t="str">
            <v>2014 December</v>
          </cell>
          <cell r="DR2" t="str">
            <v>2015 January</v>
          </cell>
          <cell r="DS2" t="str">
            <v>2015 February</v>
          </cell>
          <cell r="DT2" t="str">
            <v>2015 March</v>
          </cell>
          <cell r="DU2" t="str">
            <v>2015 April</v>
          </cell>
          <cell r="DV2" t="str">
            <v>2015 May</v>
          </cell>
          <cell r="DW2" t="str">
            <v>2015 June</v>
          </cell>
          <cell r="DX2" t="str">
            <v>2015 July</v>
          </cell>
          <cell r="DY2" t="str">
            <v>2015 August</v>
          </cell>
          <cell r="DZ2" t="str">
            <v>2015 September</v>
          </cell>
          <cell r="EA2" t="str">
            <v>2015 October</v>
          </cell>
          <cell r="EB2" t="str">
            <v>2015 November</v>
          </cell>
          <cell r="EC2" t="str">
            <v>2015 December</v>
          </cell>
          <cell r="ED2" t="str">
            <v>2016 January</v>
          </cell>
          <cell r="EE2" t="str">
            <v>2016 February</v>
          </cell>
          <cell r="EF2" t="str">
            <v>2016 March</v>
          </cell>
          <cell r="EG2" t="str">
            <v>2016 April</v>
          </cell>
          <cell r="EH2" t="str">
            <v>2016 May</v>
          </cell>
          <cell r="EI2" t="str">
            <v>2016 June</v>
          </cell>
          <cell r="EJ2" t="str">
            <v>2016 July</v>
          </cell>
          <cell r="EK2" t="str">
            <v>2016 August</v>
          </cell>
          <cell r="EL2" t="str">
            <v>2016 September</v>
          </cell>
          <cell r="EM2" t="str">
            <v>2016 October</v>
          </cell>
          <cell r="EN2" t="str">
            <v>2016 November</v>
          </cell>
          <cell r="EO2" t="str">
            <v>2016 December</v>
          </cell>
          <cell r="EP2" t="str">
            <v>2017 January</v>
          </cell>
          <cell r="EQ2" t="str">
            <v>2017 February</v>
          </cell>
          <cell r="ER2" t="str">
            <v>2017 March</v>
          </cell>
          <cell r="ES2" t="str">
            <v>2017 April</v>
          </cell>
          <cell r="ET2" t="str">
            <v>2017 May</v>
          </cell>
          <cell r="EU2" t="str">
            <v>2017 June</v>
          </cell>
          <cell r="EV2" t="str">
            <v>2017 July</v>
          </cell>
          <cell r="EW2" t="str">
            <v>2017 August</v>
          </cell>
          <cell r="EX2" t="str">
            <v>2017 September</v>
          </cell>
          <cell r="EY2" t="str">
            <v>2017 October</v>
          </cell>
          <cell r="EZ2" t="str">
            <v>2017 November</v>
          </cell>
          <cell r="FA2" t="str">
            <v>2017 December</v>
          </cell>
          <cell r="FB2" t="str">
            <v>2018 January</v>
          </cell>
          <cell r="FC2" t="str">
            <v>2018 February</v>
          </cell>
          <cell r="FD2" t="str">
            <v>2018 March</v>
          </cell>
          <cell r="FE2" t="str">
            <v>2018 April</v>
          </cell>
          <cell r="FF2" t="str">
            <v>2018 May</v>
          </cell>
          <cell r="FG2" t="str">
            <v>2018 June</v>
          </cell>
          <cell r="FH2" t="str">
            <v>2018 July</v>
          </cell>
          <cell r="FI2" t="str">
            <v>2018 August</v>
          </cell>
          <cell r="FJ2" t="str">
            <v>2018 September</v>
          </cell>
          <cell r="FK2" t="str">
            <v>2018 October</v>
          </cell>
          <cell r="FL2" t="str">
            <v>2018 November</v>
          </cell>
          <cell r="FM2" t="str">
            <v>2018 December</v>
          </cell>
          <cell r="FN2" t="str">
            <v>2019 January</v>
          </cell>
          <cell r="FO2" t="str">
            <v>2019 February</v>
          </cell>
          <cell r="FP2" t="str">
            <v>2019 March</v>
          </cell>
          <cell r="FQ2" t="str">
            <v>2019 April</v>
          </cell>
          <cell r="FR2" t="str">
            <v>2019 May</v>
          </cell>
          <cell r="FS2" t="str">
            <v>2019 June</v>
          </cell>
          <cell r="FT2" t="str">
            <v>2019 July</v>
          </cell>
          <cell r="FU2" t="str">
            <v>2019 August</v>
          </cell>
          <cell r="FV2" t="str">
            <v>2019 September</v>
          </cell>
          <cell r="FW2" t="str">
            <v>2019 October</v>
          </cell>
          <cell r="FX2" t="str">
            <v>2019 November</v>
          </cell>
          <cell r="FY2" t="str">
            <v>2019 December</v>
          </cell>
          <cell r="FZ2" t="str">
            <v>2020 January</v>
          </cell>
          <cell r="GA2" t="str">
            <v>2020 February</v>
          </cell>
          <cell r="GB2" t="str">
            <v>2020 March</v>
          </cell>
          <cell r="GC2" t="str">
            <v>2020 April</v>
          </cell>
          <cell r="GD2" t="str">
            <v>2020 May</v>
          </cell>
          <cell r="GE2" t="str">
            <v>2020 June</v>
          </cell>
          <cell r="GF2" t="str">
            <v>2020 July</v>
          </cell>
          <cell r="GG2" t="str">
            <v>2020 August</v>
          </cell>
          <cell r="GH2" t="str">
            <v>2020 September</v>
          </cell>
          <cell r="GI2" t="str">
            <v>2020 October</v>
          </cell>
          <cell r="GJ2" t="str">
            <v>2020 November</v>
          </cell>
          <cell r="GK2" t="str">
            <v>2020 December</v>
          </cell>
          <cell r="GL2" t="str">
            <v>2021 January</v>
          </cell>
          <cell r="GM2" t="str">
            <v>2021 February</v>
          </cell>
          <cell r="GN2" t="str">
            <v>2021 March</v>
          </cell>
          <cell r="GO2" t="str">
            <v>2021 April</v>
          </cell>
          <cell r="GP2" t="str">
            <v>2021 May</v>
          </cell>
          <cell r="GQ2" t="str">
            <v>2021 June</v>
          </cell>
          <cell r="GR2" t="str">
            <v>2021 July</v>
          </cell>
          <cell r="GS2" t="str">
            <v>2021 August</v>
          </cell>
          <cell r="GT2" t="str">
            <v>2021 September</v>
          </cell>
          <cell r="GU2" t="str">
            <v>2021 October</v>
          </cell>
          <cell r="GV2" t="str">
            <v>2021 November</v>
          </cell>
          <cell r="GW2" t="str">
            <v>2021 December</v>
          </cell>
          <cell r="GX2" t="str">
            <v>2022 January</v>
          </cell>
          <cell r="GY2" t="str">
            <v>2022 February</v>
          </cell>
          <cell r="GZ2" t="str">
            <v>2022 March</v>
          </cell>
          <cell r="HA2" t="str">
            <v>2022 April</v>
          </cell>
          <cell r="HB2" t="str">
            <v>2022 May</v>
          </cell>
          <cell r="HC2" t="str">
            <v>2022 June</v>
          </cell>
          <cell r="HD2" t="str">
            <v>2022 July</v>
          </cell>
          <cell r="HE2" t="str">
            <v>2022 August</v>
          </cell>
          <cell r="HF2" t="str">
            <v>2022 September</v>
          </cell>
          <cell r="HG2" t="str">
            <v>2022 October</v>
          </cell>
          <cell r="HH2" t="str">
            <v>2022 November</v>
          </cell>
          <cell r="HI2" t="str">
            <v>2022 December</v>
          </cell>
          <cell r="HJ2" t="str">
            <v>2023 January</v>
          </cell>
          <cell r="HK2" t="str">
            <v>2023 February</v>
          </cell>
          <cell r="HL2" t="str">
            <v>2023 March</v>
          </cell>
          <cell r="HM2" t="str">
            <v>2023 April</v>
          </cell>
          <cell r="HN2" t="str">
            <v>2023 May</v>
          </cell>
          <cell r="HO2" t="str">
            <v>2023 June</v>
          </cell>
          <cell r="HP2" t="str">
            <v>2023 July</v>
          </cell>
          <cell r="HQ2" t="str">
            <v>2023 August</v>
          </cell>
          <cell r="HR2" t="str">
            <v>2023 September</v>
          </cell>
          <cell r="HS2" t="str">
            <v>2023 October</v>
          </cell>
          <cell r="HT2" t="str">
            <v>2023 November</v>
          </cell>
          <cell r="HU2" t="str">
            <v>2023 December</v>
          </cell>
          <cell r="HV2" t="str">
            <v>2024 January</v>
          </cell>
          <cell r="HW2" t="str">
            <v>2024 February</v>
          </cell>
          <cell r="HX2" t="str">
            <v>2024 March</v>
          </cell>
          <cell r="HY2" t="str">
            <v>2024 April</v>
          </cell>
          <cell r="HZ2" t="str">
            <v>2024 May</v>
          </cell>
          <cell r="IA2" t="str">
            <v>2024 June</v>
          </cell>
          <cell r="IB2" t="str">
            <v>2024 July</v>
          </cell>
          <cell r="IC2" t="str">
            <v>2024 August</v>
          </cell>
          <cell r="ID2" t="str">
            <v>2024 September</v>
          </cell>
          <cell r="IE2" t="str">
            <v>2024 October</v>
          </cell>
          <cell r="IF2" t="str">
            <v>2024 November</v>
          </cell>
          <cell r="IG2" t="str">
            <v>2024 December</v>
          </cell>
        </row>
        <row r="3">
          <cell r="A3" t="str">
            <v>Total electricity production, GWh</v>
          </cell>
          <cell r="B3">
            <v>824</v>
          </cell>
          <cell r="C3">
            <v>1011</v>
          </cell>
          <cell r="D3">
            <v>1094</v>
          </cell>
          <cell r="E3">
            <v>606</v>
          </cell>
          <cell r="F3">
            <v>616</v>
          </cell>
          <cell r="G3">
            <v>572</v>
          </cell>
          <cell r="H3">
            <v>677</v>
          </cell>
          <cell r="I3">
            <v>744</v>
          </cell>
          <cell r="J3">
            <v>1161</v>
          </cell>
          <cell r="K3">
            <v>1057</v>
          </cell>
          <cell r="L3">
            <v>881</v>
          </cell>
          <cell r="M3">
            <v>941</v>
          </cell>
          <cell r="N3">
            <v>1018</v>
          </cell>
          <cell r="O3">
            <v>949</v>
          </cell>
          <cell r="P3">
            <v>951</v>
          </cell>
          <cell r="Q3">
            <v>652</v>
          </cell>
          <cell r="R3">
            <v>724</v>
          </cell>
          <cell r="S3">
            <v>626</v>
          </cell>
          <cell r="T3">
            <v>644</v>
          </cell>
          <cell r="U3">
            <v>876</v>
          </cell>
          <cell r="V3">
            <v>636</v>
          </cell>
          <cell r="W3">
            <v>888</v>
          </cell>
          <cell r="X3">
            <v>864</v>
          </cell>
          <cell r="Y3">
            <v>871</v>
          </cell>
          <cell r="Z3">
            <v>939</v>
          </cell>
          <cell r="AA3">
            <v>1025</v>
          </cell>
          <cell r="AB3">
            <v>1000</v>
          </cell>
          <cell r="AC3">
            <v>895</v>
          </cell>
          <cell r="AD3">
            <v>891</v>
          </cell>
          <cell r="AE3">
            <v>836</v>
          </cell>
          <cell r="AF3">
            <v>926</v>
          </cell>
          <cell r="AG3">
            <v>1007</v>
          </cell>
          <cell r="AH3">
            <v>1100</v>
          </cell>
          <cell r="AI3">
            <v>1137</v>
          </cell>
          <cell r="AJ3">
            <v>1182</v>
          </cell>
          <cell r="AK3">
            <v>1201</v>
          </cell>
          <cell r="AL3">
            <v>1149</v>
          </cell>
          <cell r="AM3">
            <v>996</v>
          </cell>
          <cell r="AN3">
            <v>762</v>
          </cell>
          <cell r="AO3">
            <v>749</v>
          </cell>
          <cell r="AP3">
            <v>675</v>
          </cell>
          <cell r="AQ3">
            <v>599</v>
          </cell>
          <cell r="AR3">
            <v>658</v>
          </cell>
          <cell r="AS3">
            <v>970</v>
          </cell>
          <cell r="AT3">
            <v>1042</v>
          </cell>
          <cell r="AU3">
            <v>1011</v>
          </cell>
          <cell r="AV3">
            <v>957</v>
          </cell>
          <cell r="AW3">
            <v>981</v>
          </cell>
          <cell r="AX3">
            <v>1036</v>
          </cell>
          <cell r="AY3">
            <v>948</v>
          </cell>
          <cell r="AZ3">
            <v>901</v>
          </cell>
          <cell r="BA3">
            <v>603</v>
          </cell>
          <cell r="BB3">
            <v>577</v>
          </cell>
          <cell r="BC3">
            <v>724</v>
          </cell>
          <cell r="BD3">
            <v>554</v>
          </cell>
          <cell r="BE3">
            <v>594</v>
          </cell>
          <cell r="BF3">
            <v>671</v>
          </cell>
          <cell r="BG3">
            <v>673</v>
          </cell>
          <cell r="BH3">
            <v>649</v>
          </cell>
          <cell r="BI3">
            <v>808</v>
          </cell>
          <cell r="BJ3">
            <v>1233</v>
          </cell>
          <cell r="BK3">
            <v>1132</v>
          </cell>
          <cell r="BL3">
            <v>1183</v>
          </cell>
          <cell r="BM3">
            <v>854</v>
          </cell>
          <cell r="BN3">
            <v>950</v>
          </cell>
          <cell r="BO3">
            <v>945</v>
          </cell>
          <cell r="BP3">
            <v>959</v>
          </cell>
          <cell r="BQ3">
            <v>907</v>
          </cell>
          <cell r="BR3">
            <v>943</v>
          </cell>
          <cell r="BS3">
            <v>1109</v>
          </cell>
          <cell r="BT3">
            <v>1160</v>
          </cell>
          <cell r="BU3">
            <v>1375</v>
          </cell>
          <cell r="BV3">
            <v>1362</v>
          </cell>
          <cell r="BW3">
            <v>1127</v>
          </cell>
          <cell r="BX3">
            <v>1255</v>
          </cell>
          <cell r="BY3">
            <v>895</v>
          </cell>
          <cell r="BZ3">
            <v>972</v>
          </cell>
          <cell r="CA3">
            <v>1012</v>
          </cell>
          <cell r="CB3">
            <v>946</v>
          </cell>
          <cell r="CC3">
            <v>1019</v>
          </cell>
          <cell r="CD3">
            <v>934</v>
          </cell>
          <cell r="CE3">
            <v>963</v>
          </cell>
          <cell r="CF3">
            <v>1191</v>
          </cell>
          <cell r="CG3">
            <v>1194</v>
          </cell>
          <cell r="CH3">
            <v>1076</v>
          </cell>
          <cell r="CI3">
            <v>1090</v>
          </cell>
          <cell r="CJ3">
            <v>931</v>
          </cell>
          <cell r="CK3">
            <v>878</v>
          </cell>
          <cell r="CL3">
            <v>902</v>
          </cell>
          <cell r="CM3">
            <v>868</v>
          </cell>
          <cell r="CN3">
            <v>780</v>
          </cell>
          <cell r="CO3">
            <v>1058</v>
          </cell>
          <cell r="CP3">
            <v>971</v>
          </cell>
          <cell r="CQ3">
            <v>1066</v>
          </cell>
          <cell r="CR3">
            <v>1099</v>
          </cell>
          <cell r="CS3">
            <v>1247</v>
          </cell>
          <cell r="CT3">
            <v>1330</v>
          </cell>
          <cell r="CU3">
            <v>1208</v>
          </cell>
          <cell r="CV3">
            <v>1249</v>
          </cell>
          <cell r="CW3">
            <v>1050</v>
          </cell>
          <cell r="CX3">
            <v>1060</v>
          </cell>
          <cell r="CY3">
            <v>942</v>
          </cell>
          <cell r="CZ3">
            <v>974</v>
          </cell>
          <cell r="DA3">
            <v>1097</v>
          </cell>
          <cell r="DB3">
            <v>1131</v>
          </cell>
          <cell r="DC3">
            <v>1188</v>
          </cell>
          <cell r="DD3">
            <v>1101</v>
          </cell>
          <cell r="DE3">
            <v>945</v>
          </cell>
          <cell r="DF3">
            <v>1071</v>
          </cell>
          <cell r="DG3">
            <v>990</v>
          </cell>
          <cell r="DH3">
            <v>986</v>
          </cell>
          <cell r="DI3">
            <v>914</v>
          </cell>
          <cell r="DJ3">
            <v>1009</v>
          </cell>
          <cell r="DK3">
            <v>1061</v>
          </cell>
          <cell r="DL3">
            <v>1041</v>
          </cell>
          <cell r="DM3">
            <v>970</v>
          </cell>
          <cell r="DN3">
            <v>989</v>
          </cell>
          <cell r="DO3">
            <v>1106</v>
          </cell>
          <cell r="DP3">
            <v>1083</v>
          </cell>
          <cell r="DQ3">
            <v>1159</v>
          </cell>
          <cell r="DR3">
            <v>1127</v>
          </cell>
          <cell r="DS3">
            <v>1074</v>
          </cell>
          <cell r="DT3">
            <v>846</v>
          </cell>
          <cell r="DU3">
            <v>782</v>
          </cell>
          <cell r="DV3">
            <v>873</v>
          </cell>
          <cell r="DW3">
            <v>614</v>
          </cell>
          <cell r="DX3">
            <v>658</v>
          </cell>
          <cell r="DY3">
            <v>775</v>
          </cell>
          <cell r="DZ3">
            <v>900</v>
          </cell>
          <cell r="EA3">
            <v>886</v>
          </cell>
          <cell r="EB3">
            <v>891</v>
          </cell>
          <cell r="EC3">
            <v>900</v>
          </cell>
          <cell r="ED3">
            <v>1247</v>
          </cell>
          <cell r="EE3">
            <v>861</v>
          </cell>
          <cell r="EF3">
            <v>782</v>
          </cell>
          <cell r="EG3">
            <v>851</v>
          </cell>
          <cell r="EH3">
            <v>707</v>
          </cell>
          <cell r="EI3">
            <v>752</v>
          </cell>
          <cell r="EJ3">
            <v>948</v>
          </cell>
          <cell r="EK3">
            <v>1153</v>
          </cell>
          <cell r="EL3">
            <v>1192</v>
          </cell>
          <cell r="EM3">
            <v>1222</v>
          </cell>
          <cell r="EN3">
            <v>1239</v>
          </cell>
          <cell r="EO3">
            <v>1096</v>
          </cell>
          <cell r="EP3">
            <v>1316</v>
          </cell>
          <cell r="EQ3">
            <v>1145</v>
          </cell>
          <cell r="ER3">
            <v>1208</v>
          </cell>
          <cell r="ES3">
            <v>1037</v>
          </cell>
          <cell r="ET3">
            <v>1191</v>
          </cell>
          <cell r="EU3">
            <v>1021</v>
          </cell>
          <cell r="EV3">
            <v>901</v>
          </cell>
          <cell r="EW3">
            <v>986</v>
          </cell>
          <cell r="EX3">
            <v>952</v>
          </cell>
          <cell r="EY3">
            <v>1114</v>
          </cell>
          <cell r="EZ3">
            <v>1131</v>
          </cell>
          <cell r="FA3">
            <v>1027</v>
          </cell>
          <cell r="FB3">
            <v>1180</v>
          </cell>
          <cell r="FC3">
            <v>1090</v>
          </cell>
          <cell r="FD3">
            <v>1321</v>
          </cell>
          <cell r="FE3">
            <v>1152</v>
          </cell>
          <cell r="FF3">
            <v>830</v>
          </cell>
          <cell r="FG3">
            <v>808</v>
          </cell>
          <cell r="FH3">
            <v>955</v>
          </cell>
          <cell r="FI3">
            <v>1080</v>
          </cell>
          <cell r="FJ3">
            <v>960</v>
          </cell>
          <cell r="FK3">
            <v>961</v>
          </cell>
          <cell r="FL3">
            <v>1096</v>
          </cell>
          <cell r="FM3">
            <v>894</v>
          </cell>
          <cell r="FN3">
            <v>1218</v>
          </cell>
          <cell r="FO3">
            <v>804</v>
          </cell>
          <cell r="FP3">
            <v>796</v>
          </cell>
          <cell r="FQ3">
            <v>721</v>
          </cell>
          <cell r="FR3">
            <v>554</v>
          </cell>
          <cell r="FS3">
            <v>374</v>
          </cell>
          <cell r="FT3">
            <v>372</v>
          </cell>
          <cell r="FU3">
            <v>476</v>
          </cell>
          <cell r="FV3">
            <v>550</v>
          </cell>
          <cell r="FW3">
            <v>519</v>
          </cell>
          <cell r="FX3">
            <v>629</v>
          </cell>
          <cell r="FY3">
            <v>557</v>
          </cell>
          <cell r="FZ3">
            <v>500</v>
          </cell>
          <cell r="GA3">
            <v>423</v>
          </cell>
          <cell r="GB3">
            <v>453</v>
          </cell>
          <cell r="GC3">
            <v>324</v>
          </cell>
          <cell r="GD3">
            <v>328</v>
          </cell>
          <cell r="GE3">
            <v>387</v>
          </cell>
          <cell r="GF3">
            <v>392</v>
          </cell>
          <cell r="GG3">
            <v>619</v>
          </cell>
          <cell r="GH3">
            <v>543</v>
          </cell>
          <cell r="GI3">
            <v>547</v>
          </cell>
          <cell r="GJ3">
            <v>538</v>
          </cell>
          <cell r="GK3">
            <v>575</v>
          </cell>
          <cell r="GL3">
            <v>667</v>
          </cell>
          <cell r="GM3">
            <v>682</v>
          </cell>
          <cell r="GN3">
            <v>464</v>
          </cell>
          <cell r="GO3">
            <v>462</v>
          </cell>
          <cell r="GP3">
            <v>425</v>
          </cell>
          <cell r="GQ3">
            <v>506</v>
          </cell>
          <cell r="GR3">
            <v>547</v>
          </cell>
          <cell r="GS3">
            <v>486</v>
          </cell>
          <cell r="GT3">
            <v>647</v>
          </cell>
          <cell r="GU3">
            <v>683</v>
          </cell>
          <cell r="GV3">
            <v>762</v>
          </cell>
          <cell r="GW3">
            <v>961</v>
          </cell>
          <cell r="GX3">
            <v>820</v>
          </cell>
          <cell r="GY3">
            <v>589</v>
          </cell>
          <cell r="GZ3">
            <v>875</v>
          </cell>
          <cell r="HA3">
            <v>591</v>
          </cell>
          <cell r="HB3">
            <v>800</v>
          </cell>
          <cell r="HC3">
            <v>691</v>
          </cell>
          <cell r="HD3">
            <v>641</v>
          </cell>
          <cell r="HE3">
            <v>625</v>
          </cell>
          <cell r="HF3">
            <v>791</v>
          </cell>
          <cell r="HG3">
            <v>703</v>
          </cell>
          <cell r="HH3">
            <v>754</v>
          </cell>
          <cell r="HI3">
            <v>806</v>
          </cell>
          <cell r="HJ3">
            <v>637</v>
          </cell>
          <cell r="HK3">
            <v>561</v>
          </cell>
          <cell r="HL3">
            <v>566</v>
          </cell>
          <cell r="HM3">
            <v>429</v>
          </cell>
          <cell r="HN3">
            <v>452</v>
          </cell>
          <cell r="HO3">
            <v>442</v>
          </cell>
          <cell r="HP3">
            <v>327</v>
          </cell>
          <cell r="HQ3">
            <v>376</v>
          </cell>
          <cell r="HR3">
            <v>405</v>
          </cell>
          <cell r="HS3">
            <v>399</v>
          </cell>
          <cell r="HT3">
            <v>497</v>
          </cell>
          <cell r="HU3">
            <v>582</v>
          </cell>
          <cell r="HV3">
            <v>673</v>
          </cell>
          <cell r="HW3">
            <v>513</v>
          </cell>
          <cell r="HX3">
            <v>509</v>
          </cell>
          <cell r="HY3">
            <v>443</v>
          </cell>
          <cell r="HZ3">
            <v>518</v>
          </cell>
          <cell r="IA3">
            <v>500</v>
          </cell>
          <cell r="IB3">
            <v>463</v>
          </cell>
          <cell r="IC3">
            <v>415</v>
          </cell>
          <cell r="ID3">
            <v>492</v>
          </cell>
          <cell r="IE3">
            <v>481</v>
          </cell>
          <cell r="IF3">
            <v>454</v>
          </cell>
          <cell r="IG3">
            <v>584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an-lan.com/de/faq/energy-saving-electric-furnace-vs-traditional-melting-furnace-energy-consumption-comparison.html" TargetMode="External"/><Relationship Id="rId2" Type="http://schemas.openxmlformats.org/officeDocument/2006/relationships/hyperlink" Target="https://www.iea.org/reports/the-future-of-heat-pumps/how-a-heat-pump-works" TargetMode="External"/><Relationship Id="rId1" Type="http://schemas.openxmlformats.org/officeDocument/2006/relationships/hyperlink" Target="https://fiw.hs-wismar.de/storages/hs-wismar/_FIW/Bereich_EUI/AB_AET/Professoren/Wego/Diesel_vs._Electric_-_An_energy_analysis_after_three_years_of_driving.pdf" TargetMode="External"/><Relationship Id="rId4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ec.europa.eu/eurostat/databrowser/view/rail_tf_traveh__custom_19976239/default/table%20;%20does%20not%20take%20into%20account%20differences%20between%20vehicle%20and%20t,p%20km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hyperlink" Target="https://ec.europa.eu/eurostat/databrowser/view/rail_tf_traveh__custom_19976239/default/table%20;%20does%20not%20take%20into%20account%20differences%20between%20vehicle%20and%20t,p%20km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c.europa.eu/eurostat/databrowser/view/rail_tf_traveh__custom_19976239/default/table%20;%20does%20not%20take%20into%20account%20differences%20between%20vehicle%20and%20t,p%20k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C65D7-BC85-4142-B486-983EC842B7D7}">
  <dimension ref="A1:D18"/>
  <sheetViews>
    <sheetView showGridLines="0" topLeftCell="A6" workbookViewId="0">
      <selection activeCell="H14" sqref="H14"/>
    </sheetView>
  </sheetViews>
  <sheetFormatPr defaultColWidth="9.1796875" defaultRowHeight="14.5" x14ac:dyDescent="0.35"/>
  <cols>
    <col min="1" max="1" width="3" style="1" customWidth="1"/>
    <col min="2" max="2" width="52" style="1" customWidth="1"/>
    <col min="3" max="3" width="59.54296875" style="1" bestFit="1" customWidth="1"/>
    <col min="4" max="4" width="3" style="1" customWidth="1"/>
    <col min="5" max="16384" width="9.1796875" style="1"/>
  </cols>
  <sheetData>
    <row r="1" spans="1:4" ht="8.15" customHeight="1" x14ac:dyDescent="0.35">
      <c r="A1" s="5"/>
      <c r="B1" s="5"/>
      <c r="C1" s="5"/>
      <c r="D1" s="5"/>
    </row>
    <row r="2" spans="1:4" ht="8.15" customHeight="1" x14ac:dyDescent="0.35">
      <c r="A2" s="5"/>
      <c r="B2" s="5"/>
      <c r="C2" s="5"/>
      <c r="D2" s="5"/>
    </row>
    <row r="3" spans="1:4" ht="23.5" x14ac:dyDescent="0.35">
      <c r="A3" s="5"/>
      <c r="B3" s="71" t="s">
        <v>234</v>
      </c>
      <c r="C3" s="72"/>
      <c r="D3" s="5"/>
    </row>
    <row r="4" spans="1:4" ht="5.15" customHeight="1" x14ac:dyDescent="0.35">
      <c r="A4" s="4"/>
      <c r="B4" s="4"/>
      <c r="C4" s="4"/>
      <c r="D4" s="4"/>
    </row>
    <row r="5" spans="1:4" ht="4" customHeight="1" x14ac:dyDescent="0.35">
      <c r="B5" s="4"/>
      <c r="C5" s="4"/>
    </row>
    <row r="6" spans="1:4" ht="52" customHeight="1" x14ac:dyDescent="0.35">
      <c r="B6" s="73" t="s">
        <v>233</v>
      </c>
      <c r="C6" s="72"/>
    </row>
    <row r="7" spans="1:4" ht="14.15" customHeight="1" x14ac:dyDescent="0.35"/>
    <row r="8" spans="1:4" ht="15.5" x14ac:dyDescent="0.35">
      <c r="B8" s="74" t="s">
        <v>232</v>
      </c>
      <c r="C8" s="75"/>
    </row>
    <row r="9" spans="1:4" ht="14.15" customHeight="1" x14ac:dyDescent="0.35"/>
    <row r="10" spans="1:4" ht="18" customHeight="1" x14ac:dyDescent="0.35">
      <c r="B10" s="76" t="s">
        <v>231</v>
      </c>
      <c r="C10" s="72"/>
    </row>
    <row r="11" spans="1:4" ht="20.149999999999999" customHeight="1" x14ac:dyDescent="0.35">
      <c r="B11" s="3" t="s">
        <v>230</v>
      </c>
      <c r="C11" s="2" t="s">
        <v>229</v>
      </c>
    </row>
    <row r="12" spans="1:4" ht="20.149999999999999" customHeight="1" x14ac:dyDescent="0.35">
      <c r="B12" s="3" t="s">
        <v>228</v>
      </c>
      <c r="C12" s="2" t="s">
        <v>227</v>
      </c>
    </row>
    <row r="13" spans="1:4" ht="20.149999999999999" customHeight="1" x14ac:dyDescent="0.35">
      <c r="B13" s="3" t="s">
        <v>226</v>
      </c>
      <c r="C13" s="2" t="s">
        <v>225</v>
      </c>
    </row>
    <row r="14" spans="1:4" ht="20.149999999999999" customHeight="1" x14ac:dyDescent="0.35">
      <c r="B14" s="3" t="s">
        <v>224</v>
      </c>
      <c r="C14" s="2" t="s">
        <v>223</v>
      </c>
    </row>
    <row r="15" spans="1:4" ht="20.149999999999999" customHeight="1" x14ac:dyDescent="0.35">
      <c r="B15" s="3" t="s">
        <v>222</v>
      </c>
      <c r="C15" s="6">
        <v>46266</v>
      </c>
    </row>
    <row r="16" spans="1:4" ht="14.15" customHeight="1" x14ac:dyDescent="0.35"/>
    <row r="17" ht="8.15" customHeight="1" x14ac:dyDescent="0.35"/>
    <row r="18" ht="8.15" customHeight="1" x14ac:dyDescent="0.35"/>
  </sheetData>
  <mergeCells count="4">
    <mergeCell ref="B3:C3"/>
    <mergeCell ref="B6:C6"/>
    <mergeCell ref="B8:C8"/>
    <mergeCell ref="B10:C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1526E-4205-4B04-ADB9-37EF2A123846}">
  <sheetPr>
    <tabColor rgb="FF9FBFAE"/>
  </sheetPr>
  <dimension ref="A1:IG400"/>
  <sheetViews>
    <sheetView showGridLines="0" tabSelected="1" zoomScale="62" zoomScaleNormal="80" workbookViewId="0">
      <selection activeCell="F2" sqref="F2"/>
    </sheetView>
  </sheetViews>
  <sheetFormatPr defaultColWidth="9.1796875" defaultRowHeight="13" x14ac:dyDescent="0.3"/>
  <cols>
    <col min="1" max="1" width="15.1796875" style="7" customWidth="1"/>
    <col min="2" max="7" width="13.54296875" style="7" customWidth="1"/>
    <col min="8" max="8" width="9.81640625" style="7" customWidth="1"/>
    <col min="9" max="9" width="9.1796875" style="7"/>
    <col min="10" max="15" width="11.1796875" style="7" customWidth="1"/>
    <col min="16" max="16" width="9.1796875" style="7"/>
    <col min="17" max="17" width="10.81640625" style="7" customWidth="1"/>
    <col min="18" max="18" width="9.54296875" style="7" customWidth="1"/>
    <col min="19" max="19" width="10.453125" style="7" customWidth="1"/>
    <col min="20" max="20" width="9.1796875" style="7"/>
    <col min="21" max="21" width="12.54296875" style="7" customWidth="1"/>
    <col min="22" max="31" width="11.81640625" style="7" customWidth="1"/>
    <col min="32" max="32" width="9.1796875" style="7"/>
    <col min="33" max="33" width="12.81640625" style="7" customWidth="1"/>
    <col min="34" max="34" width="15.1796875" style="7" customWidth="1"/>
    <col min="35" max="35" width="13.1796875" style="7" customWidth="1"/>
    <col min="36" max="45" width="9.1796875" style="7"/>
    <col min="46" max="46" width="9.7265625" style="7" customWidth="1"/>
    <col min="47" max="57" width="9.1796875" style="7"/>
    <col min="58" max="58" width="9.7265625" style="7" customWidth="1"/>
    <col min="59" max="69" width="9.1796875" style="7"/>
    <col min="70" max="70" width="9.7265625" style="7" customWidth="1"/>
    <col min="71" max="81" width="9.1796875" style="7"/>
    <col min="82" max="82" width="9.7265625" style="7" customWidth="1"/>
    <col min="83" max="93" width="9.1796875" style="7"/>
    <col min="94" max="94" width="9.7265625" style="7" customWidth="1"/>
    <col min="95" max="105" width="9.1796875" style="7"/>
    <col min="106" max="106" width="9.7265625" style="7" customWidth="1"/>
    <col min="107" max="117" width="9.1796875" style="7"/>
    <col min="118" max="118" width="9.7265625" style="7" customWidth="1"/>
    <col min="119" max="129" width="9.1796875" style="7"/>
    <col min="130" max="130" width="9.7265625" style="7" customWidth="1"/>
    <col min="131" max="141" width="9.1796875" style="7"/>
    <col min="142" max="142" width="9.7265625" style="7" customWidth="1"/>
    <col min="143" max="153" width="9.1796875" style="7"/>
    <col min="154" max="154" width="9.7265625" style="7" customWidth="1"/>
    <col min="155" max="165" width="9.1796875" style="7"/>
    <col min="166" max="166" width="9.7265625" style="7" customWidth="1"/>
    <col min="167" max="177" width="9.1796875" style="7"/>
    <col min="178" max="178" width="9.7265625" style="7" customWidth="1"/>
    <col min="179" max="189" width="9.1796875" style="7"/>
    <col min="190" max="190" width="9.7265625" style="7" customWidth="1"/>
    <col min="191" max="201" width="9.1796875" style="7"/>
    <col min="202" max="202" width="9.7265625" style="7" customWidth="1"/>
    <col min="203" max="213" width="9.1796875" style="7"/>
    <col min="214" max="214" width="9.7265625" style="7" customWidth="1"/>
    <col min="215" max="225" width="9.1796875" style="7"/>
    <col min="226" max="226" width="9.7265625" style="7" customWidth="1"/>
    <col min="227" max="237" width="9.1796875" style="7"/>
    <col min="238" max="238" width="9.7265625" style="7" customWidth="1"/>
    <col min="239" max="16384" width="9.1796875" style="7"/>
  </cols>
  <sheetData>
    <row r="1" spans="1:17" ht="24" customHeight="1" thickBot="1" x14ac:dyDescent="0.35">
      <c r="A1" s="8" t="s">
        <v>624</v>
      </c>
    </row>
    <row r="2" spans="1:17" ht="13.5" thickTop="1" x14ac:dyDescent="0.3">
      <c r="A2" s="9" t="s">
        <v>623</v>
      </c>
    </row>
    <row r="3" spans="1:17" x14ac:dyDescent="0.3">
      <c r="A3" s="9" t="s">
        <v>622</v>
      </c>
    </row>
    <row r="4" spans="1:17" x14ac:dyDescent="0.3">
      <c r="A4" s="9" t="s">
        <v>621</v>
      </c>
    </row>
    <row r="8" spans="1:17" ht="14.5" x14ac:dyDescent="0.3">
      <c r="B8" s="10" t="s">
        <v>609</v>
      </c>
      <c r="G8" s="9" t="s">
        <v>610</v>
      </c>
      <c r="K8" s="10" t="s">
        <v>366</v>
      </c>
      <c r="Q8" s="9" t="s">
        <v>620</v>
      </c>
    </row>
    <row r="24" spans="2:18" ht="14.5" x14ac:dyDescent="0.3">
      <c r="B24" s="10" t="s">
        <v>363</v>
      </c>
      <c r="G24" s="9" t="s">
        <v>610</v>
      </c>
      <c r="L24" s="10" t="s">
        <v>343</v>
      </c>
      <c r="R24" s="9" t="s">
        <v>610</v>
      </c>
    </row>
    <row r="45" spans="2:16" ht="14.5" x14ac:dyDescent="0.3">
      <c r="B45" s="10" t="s">
        <v>619</v>
      </c>
      <c r="H45" s="9" t="s">
        <v>610</v>
      </c>
      <c r="K45" s="10" t="s">
        <v>618</v>
      </c>
      <c r="P45" s="9" t="s">
        <v>617</v>
      </c>
    </row>
    <row r="63" spans="2:17" ht="14.5" x14ac:dyDescent="0.3">
      <c r="B63" s="10" t="s">
        <v>616</v>
      </c>
      <c r="G63" s="9" t="s">
        <v>615</v>
      </c>
      <c r="L63" s="10" t="s">
        <v>614</v>
      </c>
      <c r="Q63" s="9" t="s">
        <v>613</v>
      </c>
    </row>
    <row r="80" spans="2:16" ht="14.5" x14ac:dyDescent="0.3">
      <c r="B80" s="10" t="s">
        <v>612</v>
      </c>
      <c r="F80" s="9" t="s">
        <v>610</v>
      </c>
      <c r="L80" s="10" t="s">
        <v>611</v>
      </c>
      <c r="P80" s="9" t="s">
        <v>610</v>
      </c>
    </row>
    <row r="100" spans="1:241" ht="18" customHeight="1" x14ac:dyDescent="0.3">
      <c r="A100" s="10" t="s">
        <v>609</v>
      </c>
    </row>
    <row r="101" spans="1:241" ht="32" customHeight="1" x14ac:dyDescent="0.3">
      <c r="A101" s="77" t="s">
        <v>608</v>
      </c>
      <c r="B101" s="11" t="s">
        <v>607</v>
      </c>
      <c r="C101" s="11" t="s">
        <v>606</v>
      </c>
      <c r="D101" s="11" t="s">
        <v>605</v>
      </c>
      <c r="E101" s="11" t="s">
        <v>604</v>
      </c>
      <c r="F101" s="11" t="s">
        <v>603</v>
      </c>
      <c r="G101" s="11" t="s">
        <v>602</v>
      </c>
      <c r="H101" s="11" t="s">
        <v>601</v>
      </c>
      <c r="I101" s="11" t="s">
        <v>600</v>
      </c>
      <c r="J101" s="11" t="s">
        <v>599</v>
      </c>
      <c r="K101" s="11" t="s">
        <v>598</v>
      </c>
      <c r="L101" s="11" t="s">
        <v>597</v>
      </c>
      <c r="M101" s="11" t="s">
        <v>596</v>
      </c>
      <c r="N101" s="11" t="s">
        <v>595</v>
      </c>
      <c r="O101" s="11" t="s">
        <v>594</v>
      </c>
      <c r="P101" s="11" t="s">
        <v>593</v>
      </c>
      <c r="Q101" s="11" t="s">
        <v>592</v>
      </c>
      <c r="R101" s="11" t="s">
        <v>591</v>
      </c>
      <c r="S101" s="11" t="s">
        <v>590</v>
      </c>
      <c r="T101" s="11" t="s">
        <v>589</v>
      </c>
      <c r="U101" s="11" t="s">
        <v>588</v>
      </c>
      <c r="V101" s="11" t="s">
        <v>587</v>
      </c>
      <c r="W101" s="11" t="s">
        <v>586</v>
      </c>
      <c r="X101" s="11" t="s">
        <v>585</v>
      </c>
      <c r="Y101" s="11" t="s">
        <v>584</v>
      </c>
      <c r="Z101" s="11" t="s">
        <v>583</v>
      </c>
      <c r="AA101" s="11" t="s">
        <v>582</v>
      </c>
      <c r="AB101" s="11" t="s">
        <v>581</v>
      </c>
      <c r="AC101" s="11" t="s">
        <v>580</v>
      </c>
      <c r="AD101" s="11" t="s">
        <v>579</v>
      </c>
      <c r="AE101" s="11" t="s">
        <v>578</v>
      </c>
      <c r="AF101" s="11" t="s">
        <v>577</v>
      </c>
      <c r="AG101" s="11" t="s">
        <v>576</v>
      </c>
      <c r="AH101" s="11" t="s">
        <v>575</v>
      </c>
      <c r="AI101" s="11" t="s">
        <v>574</v>
      </c>
      <c r="AJ101" s="11" t="s">
        <v>573</v>
      </c>
      <c r="AK101" s="11" t="s">
        <v>572</v>
      </c>
      <c r="AL101" s="11" t="s">
        <v>571</v>
      </c>
      <c r="AM101" s="11" t="s">
        <v>570</v>
      </c>
      <c r="AN101" s="11" t="s">
        <v>569</v>
      </c>
      <c r="AO101" s="11" t="s">
        <v>568</v>
      </c>
      <c r="AP101" s="11" t="s">
        <v>567</v>
      </c>
      <c r="AQ101" s="11" t="s">
        <v>566</v>
      </c>
      <c r="AR101" s="11" t="s">
        <v>565</v>
      </c>
      <c r="AS101" s="11" t="s">
        <v>564</v>
      </c>
      <c r="AT101" s="11" t="s">
        <v>563</v>
      </c>
      <c r="AU101" s="11" t="s">
        <v>562</v>
      </c>
      <c r="AV101" s="11" t="s">
        <v>561</v>
      </c>
      <c r="AW101" s="11" t="s">
        <v>560</v>
      </c>
      <c r="AX101" s="11" t="s">
        <v>559</v>
      </c>
      <c r="AY101" s="11" t="s">
        <v>558</v>
      </c>
      <c r="AZ101" s="11" t="s">
        <v>557</v>
      </c>
      <c r="BA101" s="11" t="s">
        <v>556</v>
      </c>
      <c r="BB101" s="11" t="s">
        <v>555</v>
      </c>
      <c r="BC101" s="11" t="s">
        <v>554</v>
      </c>
      <c r="BD101" s="11" t="s">
        <v>553</v>
      </c>
      <c r="BE101" s="11" t="s">
        <v>552</v>
      </c>
      <c r="BF101" s="11" t="s">
        <v>551</v>
      </c>
      <c r="BG101" s="11" t="s">
        <v>550</v>
      </c>
      <c r="BH101" s="11" t="s">
        <v>549</v>
      </c>
      <c r="BI101" s="11" t="s">
        <v>548</v>
      </c>
      <c r="BJ101" s="11" t="s">
        <v>547</v>
      </c>
      <c r="BK101" s="11" t="s">
        <v>546</v>
      </c>
      <c r="BL101" s="11" t="s">
        <v>545</v>
      </c>
      <c r="BM101" s="11" t="s">
        <v>544</v>
      </c>
      <c r="BN101" s="11" t="s">
        <v>543</v>
      </c>
      <c r="BO101" s="11" t="s">
        <v>542</v>
      </c>
      <c r="BP101" s="11" t="s">
        <v>541</v>
      </c>
      <c r="BQ101" s="11" t="s">
        <v>540</v>
      </c>
      <c r="BR101" s="11" t="s">
        <v>539</v>
      </c>
      <c r="BS101" s="11" t="s">
        <v>538</v>
      </c>
      <c r="BT101" s="11" t="s">
        <v>537</v>
      </c>
      <c r="BU101" s="11" t="s">
        <v>536</v>
      </c>
      <c r="BV101" s="11" t="s">
        <v>535</v>
      </c>
      <c r="BW101" s="11" t="s">
        <v>534</v>
      </c>
      <c r="BX101" s="11" t="s">
        <v>533</v>
      </c>
      <c r="BY101" s="11" t="s">
        <v>532</v>
      </c>
      <c r="BZ101" s="11" t="s">
        <v>531</v>
      </c>
      <c r="CA101" s="11" t="s">
        <v>530</v>
      </c>
      <c r="CB101" s="11" t="s">
        <v>529</v>
      </c>
      <c r="CC101" s="11" t="s">
        <v>528</v>
      </c>
      <c r="CD101" s="11" t="s">
        <v>527</v>
      </c>
      <c r="CE101" s="11" t="s">
        <v>526</v>
      </c>
      <c r="CF101" s="11" t="s">
        <v>525</v>
      </c>
      <c r="CG101" s="11" t="s">
        <v>524</v>
      </c>
      <c r="CH101" s="11" t="s">
        <v>523</v>
      </c>
      <c r="CI101" s="11" t="s">
        <v>522</v>
      </c>
      <c r="CJ101" s="11" t="s">
        <v>521</v>
      </c>
      <c r="CK101" s="11" t="s">
        <v>520</v>
      </c>
      <c r="CL101" s="11" t="s">
        <v>519</v>
      </c>
      <c r="CM101" s="11" t="s">
        <v>518</v>
      </c>
      <c r="CN101" s="11" t="s">
        <v>517</v>
      </c>
      <c r="CO101" s="11" t="s">
        <v>516</v>
      </c>
      <c r="CP101" s="11" t="s">
        <v>515</v>
      </c>
      <c r="CQ101" s="11" t="s">
        <v>514</v>
      </c>
      <c r="CR101" s="11" t="s">
        <v>513</v>
      </c>
      <c r="CS101" s="11" t="s">
        <v>512</v>
      </c>
      <c r="CT101" s="11" t="s">
        <v>511</v>
      </c>
      <c r="CU101" s="11" t="s">
        <v>510</v>
      </c>
      <c r="CV101" s="11" t="s">
        <v>509</v>
      </c>
      <c r="CW101" s="11" t="s">
        <v>508</v>
      </c>
      <c r="CX101" s="11" t="s">
        <v>507</v>
      </c>
      <c r="CY101" s="11" t="s">
        <v>506</v>
      </c>
      <c r="CZ101" s="11" t="s">
        <v>505</v>
      </c>
      <c r="DA101" s="11" t="s">
        <v>504</v>
      </c>
      <c r="DB101" s="11" t="s">
        <v>503</v>
      </c>
      <c r="DC101" s="11" t="s">
        <v>502</v>
      </c>
      <c r="DD101" s="11" t="s">
        <v>501</v>
      </c>
      <c r="DE101" s="11" t="s">
        <v>500</v>
      </c>
      <c r="DF101" s="11" t="s">
        <v>499</v>
      </c>
      <c r="DG101" s="11" t="s">
        <v>498</v>
      </c>
      <c r="DH101" s="11" t="s">
        <v>497</v>
      </c>
      <c r="DI101" s="11" t="s">
        <v>496</v>
      </c>
      <c r="DJ101" s="11" t="s">
        <v>495</v>
      </c>
      <c r="DK101" s="11" t="s">
        <v>494</v>
      </c>
      <c r="DL101" s="11" t="s">
        <v>493</v>
      </c>
      <c r="DM101" s="11" t="s">
        <v>492</v>
      </c>
      <c r="DN101" s="11" t="s">
        <v>491</v>
      </c>
      <c r="DO101" s="11" t="s">
        <v>490</v>
      </c>
      <c r="DP101" s="11" t="s">
        <v>489</v>
      </c>
      <c r="DQ101" s="11" t="s">
        <v>488</v>
      </c>
      <c r="DR101" s="11" t="s">
        <v>487</v>
      </c>
      <c r="DS101" s="11" t="s">
        <v>486</v>
      </c>
      <c r="DT101" s="11" t="s">
        <v>485</v>
      </c>
      <c r="DU101" s="11" t="s">
        <v>484</v>
      </c>
      <c r="DV101" s="11" t="s">
        <v>483</v>
      </c>
      <c r="DW101" s="11" t="s">
        <v>482</v>
      </c>
      <c r="DX101" s="11" t="s">
        <v>481</v>
      </c>
      <c r="DY101" s="11" t="s">
        <v>480</v>
      </c>
      <c r="DZ101" s="11" t="s">
        <v>479</v>
      </c>
      <c r="EA101" s="11" t="s">
        <v>478</v>
      </c>
      <c r="EB101" s="11" t="s">
        <v>477</v>
      </c>
      <c r="EC101" s="11" t="s">
        <v>476</v>
      </c>
      <c r="ED101" s="11" t="s">
        <v>475</v>
      </c>
      <c r="EE101" s="11" t="s">
        <v>474</v>
      </c>
      <c r="EF101" s="11" t="s">
        <v>473</v>
      </c>
      <c r="EG101" s="11" t="s">
        <v>472</v>
      </c>
      <c r="EH101" s="11" t="s">
        <v>471</v>
      </c>
      <c r="EI101" s="11" t="s">
        <v>470</v>
      </c>
      <c r="EJ101" s="11" t="s">
        <v>469</v>
      </c>
      <c r="EK101" s="11" t="s">
        <v>468</v>
      </c>
      <c r="EL101" s="11" t="s">
        <v>467</v>
      </c>
      <c r="EM101" s="11" t="s">
        <v>466</v>
      </c>
      <c r="EN101" s="11" t="s">
        <v>465</v>
      </c>
      <c r="EO101" s="11" t="s">
        <v>464</v>
      </c>
      <c r="EP101" s="11" t="s">
        <v>463</v>
      </c>
      <c r="EQ101" s="11" t="s">
        <v>462</v>
      </c>
      <c r="ER101" s="11" t="s">
        <v>461</v>
      </c>
      <c r="ES101" s="11" t="s">
        <v>460</v>
      </c>
      <c r="ET101" s="11" t="s">
        <v>459</v>
      </c>
      <c r="EU101" s="11" t="s">
        <v>458</v>
      </c>
      <c r="EV101" s="11" t="s">
        <v>457</v>
      </c>
      <c r="EW101" s="11" t="s">
        <v>456</v>
      </c>
      <c r="EX101" s="11" t="s">
        <v>455</v>
      </c>
      <c r="EY101" s="11" t="s">
        <v>454</v>
      </c>
      <c r="EZ101" s="11" t="s">
        <v>453</v>
      </c>
      <c r="FA101" s="11" t="s">
        <v>452</v>
      </c>
      <c r="FB101" s="11" t="s">
        <v>451</v>
      </c>
      <c r="FC101" s="11" t="s">
        <v>450</v>
      </c>
      <c r="FD101" s="11" t="s">
        <v>449</v>
      </c>
      <c r="FE101" s="11" t="s">
        <v>448</v>
      </c>
      <c r="FF101" s="11" t="s">
        <v>447</v>
      </c>
      <c r="FG101" s="11" t="s">
        <v>446</v>
      </c>
      <c r="FH101" s="11" t="s">
        <v>445</v>
      </c>
      <c r="FI101" s="11" t="s">
        <v>444</v>
      </c>
      <c r="FJ101" s="11" t="s">
        <v>443</v>
      </c>
      <c r="FK101" s="11" t="s">
        <v>442</v>
      </c>
      <c r="FL101" s="11" t="s">
        <v>441</v>
      </c>
      <c r="FM101" s="11" t="s">
        <v>440</v>
      </c>
      <c r="FN101" s="11" t="s">
        <v>439</v>
      </c>
      <c r="FO101" s="11" t="s">
        <v>438</v>
      </c>
      <c r="FP101" s="11" t="s">
        <v>437</v>
      </c>
      <c r="FQ101" s="11" t="s">
        <v>436</v>
      </c>
      <c r="FR101" s="11" t="s">
        <v>435</v>
      </c>
      <c r="FS101" s="11" t="s">
        <v>434</v>
      </c>
      <c r="FT101" s="11" t="s">
        <v>433</v>
      </c>
      <c r="FU101" s="11" t="s">
        <v>432</v>
      </c>
      <c r="FV101" s="11" t="s">
        <v>431</v>
      </c>
      <c r="FW101" s="11" t="s">
        <v>430</v>
      </c>
      <c r="FX101" s="11" t="s">
        <v>429</v>
      </c>
      <c r="FY101" s="11" t="s">
        <v>428</v>
      </c>
      <c r="FZ101" s="11" t="s">
        <v>427</v>
      </c>
      <c r="GA101" s="11" t="s">
        <v>426</v>
      </c>
      <c r="GB101" s="11" t="s">
        <v>425</v>
      </c>
      <c r="GC101" s="11" t="s">
        <v>424</v>
      </c>
      <c r="GD101" s="11" t="s">
        <v>423</v>
      </c>
      <c r="GE101" s="11" t="s">
        <v>422</v>
      </c>
      <c r="GF101" s="11" t="s">
        <v>421</v>
      </c>
      <c r="GG101" s="11" t="s">
        <v>420</v>
      </c>
      <c r="GH101" s="11" t="s">
        <v>419</v>
      </c>
      <c r="GI101" s="11" t="s">
        <v>418</v>
      </c>
      <c r="GJ101" s="11" t="s">
        <v>417</v>
      </c>
      <c r="GK101" s="11" t="s">
        <v>416</v>
      </c>
      <c r="GL101" s="11" t="s">
        <v>415</v>
      </c>
      <c r="GM101" s="11" t="s">
        <v>414</v>
      </c>
      <c r="GN101" s="11" t="s">
        <v>413</v>
      </c>
      <c r="GO101" s="11" t="s">
        <v>412</v>
      </c>
      <c r="GP101" s="11" t="s">
        <v>411</v>
      </c>
      <c r="GQ101" s="11" t="s">
        <v>410</v>
      </c>
      <c r="GR101" s="11" t="s">
        <v>409</v>
      </c>
      <c r="GS101" s="11" t="s">
        <v>408</v>
      </c>
      <c r="GT101" s="11" t="s">
        <v>407</v>
      </c>
      <c r="GU101" s="11" t="s">
        <v>406</v>
      </c>
      <c r="GV101" s="11" t="s">
        <v>405</v>
      </c>
      <c r="GW101" s="11" t="s">
        <v>404</v>
      </c>
      <c r="GX101" s="11" t="s">
        <v>403</v>
      </c>
      <c r="GY101" s="11" t="s">
        <v>402</v>
      </c>
      <c r="GZ101" s="11" t="s">
        <v>401</v>
      </c>
      <c r="HA101" s="11" t="s">
        <v>400</v>
      </c>
      <c r="HB101" s="11" t="s">
        <v>399</v>
      </c>
      <c r="HC101" s="11" t="s">
        <v>398</v>
      </c>
      <c r="HD101" s="11" t="s">
        <v>397</v>
      </c>
      <c r="HE101" s="11" t="s">
        <v>396</v>
      </c>
      <c r="HF101" s="11" t="s">
        <v>395</v>
      </c>
      <c r="HG101" s="11" t="s">
        <v>394</v>
      </c>
      <c r="HH101" s="11" t="s">
        <v>393</v>
      </c>
      <c r="HI101" s="11" t="s">
        <v>392</v>
      </c>
      <c r="HJ101" s="11" t="s">
        <v>391</v>
      </c>
      <c r="HK101" s="11" t="s">
        <v>390</v>
      </c>
      <c r="HL101" s="11" t="s">
        <v>389</v>
      </c>
      <c r="HM101" s="11" t="s">
        <v>388</v>
      </c>
      <c r="HN101" s="11" t="s">
        <v>387</v>
      </c>
      <c r="HO101" s="11" t="s">
        <v>386</v>
      </c>
      <c r="HP101" s="11" t="s">
        <v>385</v>
      </c>
      <c r="HQ101" s="11" t="s">
        <v>384</v>
      </c>
      <c r="HR101" s="11" t="s">
        <v>383</v>
      </c>
      <c r="HS101" s="11" t="s">
        <v>382</v>
      </c>
      <c r="HT101" s="11" t="s">
        <v>381</v>
      </c>
      <c r="HU101" s="11" t="s">
        <v>380</v>
      </c>
      <c r="HV101" s="11" t="s">
        <v>379</v>
      </c>
      <c r="HW101" s="11" t="s">
        <v>378</v>
      </c>
      <c r="HX101" s="11" t="s">
        <v>377</v>
      </c>
      <c r="HY101" s="11" t="s">
        <v>376</v>
      </c>
      <c r="HZ101" s="11" t="s">
        <v>375</v>
      </c>
      <c r="IA101" s="11" t="s">
        <v>374</v>
      </c>
      <c r="IB101" s="11" t="s">
        <v>373</v>
      </c>
      <c r="IC101" s="11" t="s">
        <v>372</v>
      </c>
      <c r="ID101" s="11" t="s">
        <v>371</v>
      </c>
      <c r="IE101" s="11" t="s">
        <v>370</v>
      </c>
      <c r="IF101" s="11" t="s">
        <v>369</v>
      </c>
      <c r="IG101" s="11" t="s">
        <v>368</v>
      </c>
    </row>
    <row r="102" spans="1:241" ht="18.649999999999999" customHeight="1" x14ac:dyDescent="0.3">
      <c r="A102" s="77"/>
      <c r="B102" s="12">
        <v>824</v>
      </c>
      <c r="C102" s="13">
        <v>1011</v>
      </c>
      <c r="D102" s="13">
        <v>1094</v>
      </c>
      <c r="E102" s="14">
        <v>606</v>
      </c>
      <c r="F102" s="14">
        <v>616</v>
      </c>
      <c r="G102" s="14">
        <v>572</v>
      </c>
      <c r="H102" s="14">
        <v>677</v>
      </c>
      <c r="I102" s="14">
        <v>744</v>
      </c>
      <c r="J102" s="13">
        <v>1161</v>
      </c>
      <c r="K102" s="13">
        <v>1057</v>
      </c>
      <c r="L102" s="14">
        <v>881</v>
      </c>
      <c r="M102" s="14">
        <v>941</v>
      </c>
      <c r="N102" s="13">
        <v>1018</v>
      </c>
      <c r="O102" s="14">
        <v>949</v>
      </c>
      <c r="P102" s="14">
        <v>951</v>
      </c>
      <c r="Q102" s="14">
        <v>652</v>
      </c>
      <c r="R102" s="14">
        <v>724</v>
      </c>
      <c r="S102" s="14">
        <v>626</v>
      </c>
      <c r="T102" s="14">
        <v>644</v>
      </c>
      <c r="U102" s="14">
        <v>876</v>
      </c>
      <c r="V102" s="14">
        <v>636</v>
      </c>
      <c r="W102" s="14">
        <v>888</v>
      </c>
      <c r="X102" s="14">
        <v>864</v>
      </c>
      <c r="Y102" s="14">
        <v>871</v>
      </c>
      <c r="Z102" s="14">
        <v>939</v>
      </c>
      <c r="AA102" s="13">
        <v>1025</v>
      </c>
      <c r="AB102" s="13">
        <v>1000</v>
      </c>
      <c r="AC102" s="14">
        <v>895</v>
      </c>
      <c r="AD102" s="14">
        <v>891</v>
      </c>
      <c r="AE102" s="14">
        <v>836</v>
      </c>
      <c r="AF102" s="14">
        <v>926</v>
      </c>
      <c r="AG102" s="13">
        <v>1007</v>
      </c>
      <c r="AH102" s="13">
        <v>1100</v>
      </c>
      <c r="AI102" s="13">
        <v>1137</v>
      </c>
      <c r="AJ102" s="13">
        <v>1182</v>
      </c>
      <c r="AK102" s="13">
        <v>1201</v>
      </c>
      <c r="AL102" s="13">
        <v>1149</v>
      </c>
      <c r="AM102" s="14">
        <v>996</v>
      </c>
      <c r="AN102" s="14">
        <v>762</v>
      </c>
      <c r="AO102" s="14">
        <v>749</v>
      </c>
      <c r="AP102" s="14">
        <v>675</v>
      </c>
      <c r="AQ102" s="14">
        <v>599</v>
      </c>
      <c r="AR102" s="14">
        <v>658</v>
      </c>
      <c r="AS102" s="14">
        <v>970</v>
      </c>
      <c r="AT102" s="13">
        <v>1042</v>
      </c>
      <c r="AU102" s="13">
        <v>1011</v>
      </c>
      <c r="AV102" s="14">
        <v>957</v>
      </c>
      <c r="AW102" s="14">
        <v>981</v>
      </c>
      <c r="AX102" s="13">
        <v>1036</v>
      </c>
      <c r="AY102" s="14">
        <v>948</v>
      </c>
      <c r="AZ102" s="14">
        <v>901</v>
      </c>
      <c r="BA102" s="14">
        <v>603</v>
      </c>
      <c r="BB102" s="14">
        <v>577</v>
      </c>
      <c r="BC102" s="14">
        <v>724</v>
      </c>
      <c r="BD102" s="14">
        <v>554</v>
      </c>
      <c r="BE102" s="14">
        <v>594</v>
      </c>
      <c r="BF102" s="14">
        <v>671</v>
      </c>
      <c r="BG102" s="14">
        <v>673</v>
      </c>
      <c r="BH102" s="14">
        <v>649</v>
      </c>
      <c r="BI102" s="14">
        <v>808</v>
      </c>
      <c r="BJ102" s="13">
        <v>1233</v>
      </c>
      <c r="BK102" s="13">
        <v>1132</v>
      </c>
      <c r="BL102" s="13">
        <v>1183</v>
      </c>
      <c r="BM102" s="14">
        <v>854</v>
      </c>
      <c r="BN102" s="14">
        <v>950</v>
      </c>
      <c r="BO102" s="14">
        <v>945</v>
      </c>
      <c r="BP102" s="14">
        <v>959</v>
      </c>
      <c r="BQ102" s="14">
        <v>907</v>
      </c>
      <c r="BR102" s="14">
        <v>943</v>
      </c>
      <c r="BS102" s="13">
        <v>1109</v>
      </c>
      <c r="BT102" s="13">
        <v>1160</v>
      </c>
      <c r="BU102" s="13">
        <v>1375</v>
      </c>
      <c r="BV102" s="13">
        <v>1362</v>
      </c>
      <c r="BW102" s="13">
        <v>1127</v>
      </c>
      <c r="BX102" s="13">
        <v>1255</v>
      </c>
      <c r="BY102" s="14">
        <v>895</v>
      </c>
      <c r="BZ102" s="14">
        <v>972</v>
      </c>
      <c r="CA102" s="13">
        <v>1012</v>
      </c>
      <c r="CB102" s="14">
        <v>946</v>
      </c>
      <c r="CC102" s="13">
        <v>1019</v>
      </c>
      <c r="CD102" s="14">
        <v>934</v>
      </c>
      <c r="CE102" s="14">
        <v>963</v>
      </c>
      <c r="CF102" s="13">
        <v>1191</v>
      </c>
      <c r="CG102" s="13">
        <v>1194</v>
      </c>
      <c r="CH102" s="13">
        <v>1076</v>
      </c>
      <c r="CI102" s="13">
        <v>1090</v>
      </c>
      <c r="CJ102" s="14">
        <v>931</v>
      </c>
      <c r="CK102" s="14">
        <v>878</v>
      </c>
      <c r="CL102" s="14">
        <v>902</v>
      </c>
      <c r="CM102" s="14">
        <v>868</v>
      </c>
      <c r="CN102" s="14">
        <v>780</v>
      </c>
      <c r="CO102" s="13">
        <v>1058</v>
      </c>
      <c r="CP102" s="14">
        <v>971</v>
      </c>
      <c r="CQ102" s="13">
        <v>1066</v>
      </c>
      <c r="CR102" s="13">
        <v>1099</v>
      </c>
      <c r="CS102" s="13">
        <v>1247</v>
      </c>
      <c r="CT102" s="13">
        <v>1330</v>
      </c>
      <c r="CU102" s="13">
        <v>1208</v>
      </c>
      <c r="CV102" s="13">
        <v>1249</v>
      </c>
      <c r="CW102" s="13">
        <v>1050</v>
      </c>
      <c r="CX102" s="13">
        <v>1060</v>
      </c>
      <c r="CY102" s="14">
        <v>942</v>
      </c>
      <c r="CZ102" s="14">
        <v>974</v>
      </c>
      <c r="DA102" s="13">
        <v>1097</v>
      </c>
      <c r="DB102" s="13">
        <v>1131</v>
      </c>
      <c r="DC102" s="13">
        <v>1188</v>
      </c>
      <c r="DD102" s="13">
        <v>1101</v>
      </c>
      <c r="DE102" s="14">
        <v>945</v>
      </c>
      <c r="DF102" s="13">
        <v>1071</v>
      </c>
      <c r="DG102" s="14">
        <v>990</v>
      </c>
      <c r="DH102" s="14">
        <v>986</v>
      </c>
      <c r="DI102" s="14">
        <v>914</v>
      </c>
      <c r="DJ102" s="13">
        <v>1009</v>
      </c>
      <c r="DK102" s="13">
        <v>1061</v>
      </c>
      <c r="DL102" s="13">
        <v>1041</v>
      </c>
      <c r="DM102" s="14">
        <v>970</v>
      </c>
      <c r="DN102" s="14">
        <v>989</v>
      </c>
      <c r="DO102" s="13">
        <v>1106</v>
      </c>
      <c r="DP102" s="13">
        <v>1083</v>
      </c>
      <c r="DQ102" s="13">
        <v>1159</v>
      </c>
      <c r="DR102" s="13">
        <v>1127</v>
      </c>
      <c r="DS102" s="13">
        <v>1074</v>
      </c>
      <c r="DT102" s="14">
        <v>846</v>
      </c>
      <c r="DU102" s="14">
        <v>782</v>
      </c>
      <c r="DV102" s="14">
        <v>873</v>
      </c>
      <c r="DW102" s="14">
        <v>614</v>
      </c>
      <c r="DX102" s="14">
        <v>658</v>
      </c>
      <c r="DY102" s="14">
        <v>775</v>
      </c>
      <c r="DZ102" s="14">
        <v>900</v>
      </c>
      <c r="EA102" s="14">
        <v>886</v>
      </c>
      <c r="EB102" s="14">
        <v>891</v>
      </c>
      <c r="EC102" s="14">
        <v>900</v>
      </c>
      <c r="ED102" s="13">
        <v>1247</v>
      </c>
      <c r="EE102" s="14">
        <v>861</v>
      </c>
      <c r="EF102" s="14">
        <v>782</v>
      </c>
      <c r="EG102" s="14">
        <v>851</v>
      </c>
      <c r="EH102" s="14">
        <v>707</v>
      </c>
      <c r="EI102" s="14">
        <v>752</v>
      </c>
      <c r="EJ102" s="14">
        <v>948</v>
      </c>
      <c r="EK102" s="13">
        <v>1153</v>
      </c>
      <c r="EL102" s="13">
        <v>1192</v>
      </c>
      <c r="EM102" s="13">
        <v>1222</v>
      </c>
      <c r="EN102" s="13">
        <v>1239</v>
      </c>
      <c r="EO102" s="13">
        <v>1096</v>
      </c>
      <c r="EP102" s="13">
        <v>1316</v>
      </c>
      <c r="EQ102" s="13">
        <v>1145</v>
      </c>
      <c r="ER102" s="13">
        <v>1208</v>
      </c>
      <c r="ES102" s="13">
        <v>1037</v>
      </c>
      <c r="ET102" s="13">
        <v>1191</v>
      </c>
      <c r="EU102" s="13">
        <v>1021</v>
      </c>
      <c r="EV102" s="14">
        <v>901</v>
      </c>
      <c r="EW102" s="14">
        <v>986</v>
      </c>
      <c r="EX102" s="14">
        <v>952</v>
      </c>
      <c r="EY102" s="13">
        <v>1114</v>
      </c>
      <c r="EZ102" s="13">
        <v>1131</v>
      </c>
      <c r="FA102" s="13">
        <v>1027</v>
      </c>
      <c r="FB102" s="13">
        <v>1180</v>
      </c>
      <c r="FC102" s="13">
        <v>1090</v>
      </c>
      <c r="FD102" s="13">
        <v>1321</v>
      </c>
      <c r="FE102" s="13">
        <v>1152</v>
      </c>
      <c r="FF102" s="14">
        <v>830</v>
      </c>
      <c r="FG102" s="14">
        <v>808</v>
      </c>
      <c r="FH102" s="14">
        <v>955</v>
      </c>
      <c r="FI102" s="13">
        <v>1080</v>
      </c>
      <c r="FJ102" s="14">
        <v>960</v>
      </c>
      <c r="FK102" s="14">
        <v>961</v>
      </c>
      <c r="FL102" s="13">
        <v>1096</v>
      </c>
      <c r="FM102" s="14">
        <v>894</v>
      </c>
      <c r="FN102" s="13">
        <v>1218</v>
      </c>
      <c r="FO102" s="14">
        <v>804</v>
      </c>
      <c r="FP102" s="14">
        <v>796</v>
      </c>
      <c r="FQ102" s="14">
        <v>721</v>
      </c>
      <c r="FR102" s="14">
        <v>554</v>
      </c>
      <c r="FS102" s="14">
        <v>374</v>
      </c>
      <c r="FT102" s="14">
        <v>372</v>
      </c>
      <c r="FU102" s="14">
        <v>476</v>
      </c>
      <c r="FV102" s="14">
        <v>550</v>
      </c>
      <c r="FW102" s="14">
        <v>519</v>
      </c>
      <c r="FX102" s="14">
        <v>629</v>
      </c>
      <c r="FY102" s="14">
        <v>557</v>
      </c>
      <c r="FZ102" s="14">
        <v>500</v>
      </c>
      <c r="GA102" s="14">
        <v>423</v>
      </c>
      <c r="GB102" s="14">
        <v>453</v>
      </c>
      <c r="GC102" s="14">
        <v>324</v>
      </c>
      <c r="GD102" s="14">
        <v>328</v>
      </c>
      <c r="GE102" s="14">
        <v>387</v>
      </c>
      <c r="GF102" s="14">
        <v>392</v>
      </c>
      <c r="GG102" s="14">
        <v>619</v>
      </c>
      <c r="GH102" s="14">
        <v>543</v>
      </c>
      <c r="GI102" s="14">
        <v>547</v>
      </c>
      <c r="GJ102" s="14">
        <v>538</v>
      </c>
      <c r="GK102" s="14">
        <v>575</v>
      </c>
      <c r="GL102" s="14">
        <v>667</v>
      </c>
      <c r="GM102" s="14">
        <v>682</v>
      </c>
      <c r="GN102" s="14">
        <v>464</v>
      </c>
      <c r="GO102" s="14">
        <v>462</v>
      </c>
      <c r="GP102" s="14">
        <v>425</v>
      </c>
      <c r="GQ102" s="14">
        <v>506</v>
      </c>
      <c r="GR102" s="14">
        <v>547</v>
      </c>
      <c r="GS102" s="14">
        <v>486</v>
      </c>
      <c r="GT102" s="14">
        <v>647</v>
      </c>
      <c r="GU102" s="14">
        <v>683</v>
      </c>
      <c r="GV102" s="14">
        <v>762</v>
      </c>
      <c r="GW102" s="14">
        <v>961</v>
      </c>
      <c r="GX102" s="14">
        <v>820</v>
      </c>
      <c r="GY102" s="14">
        <v>589</v>
      </c>
      <c r="GZ102" s="14">
        <v>875</v>
      </c>
      <c r="HA102" s="14">
        <v>591</v>
      </c>
      <c r="HB102" s="14">
        <v>800</v>
      </c>
      <c r="HC102" s="14">
        <v>691</v>
      </c>
      <c r="HD102" s="14">
        <v>641</v>
      </c>
      <c r="HE102" s="14">
        <v>625</v>
      </c>
      <c r="HF102" s="14">
        <v>791</v>
      </c>
      <c r="HG102" s="14">
        <v>703</v>
      </c>
      <c r="HH102" s="14">
        <v>754</v>
      </c>
      <c r="HI102" s="14">
        <v>806</v>
      </c>
      <c r="HJ102" s="14">
        <v>637</v>
      </c>
      <c r="HK102" s="14">
        <v>561</v>
      </c>
      <c r="HL102" s="14">
        <v>566</v>
      </c>
      <c r="HM102" s="14">
        <v>429</v>
      </c>
      <c r="HN102" s="14">
        <v>452</v>
      </c>
      <c r="HO102" s="14">
        <v>442</v>
      </c>
      <c r="HP102" s="14">
        <v>327</v>
      </c>
      <c r="HQ102" s="14">
        <v>376</v>
      </c>
      <c r="HR102" s="14">
        <v>405</v>
      </c>
      <c r="HS102" s="14">
        <v>399</v>
      </c>
      <c r="HT102" s="14">
        <v>497</v>
      </c>
      <c r="HU102" s="14">
        <v>582</v>
      </c>
      <c r="HV102" s="14">
        <v>673</v>
      </c>
      <c r="HW102" s="14">
        <v>513</v>
      </c>
      <c r="HX102" s="14">
        <v>509</v>
      </c>
      <c r="HY102" s="14">
        <v>443</v>
      </c>
      <c r="HZ102" s="14">
        <v>518</v>
      </c>
      <c r="IA102" s="14">
        <v>500</v>
      </c>
      <c r="IB102" s="14">
        <v>463</v>
      </c>
      <c r="IC102" s="14">
        <v>415</v>
      </c>
      <c r="ID102" s="14">
        <v>492</v>
      </c>
      <c r="IE102" s="14">
        <v>481</v>
      </c>
      <c r="IF102" s="14">
        <v>454</v>
      </c>
      <c r="IG102" s="14">
        <v>584</v>
      </c>
    </row>
    <row r="104" spans="1:241" x14ac:dyDescent="0.3">
      <c r="A104" s="15" t="s">
        <v>367</v>
      </c>
      <c r="B104" s="16">
        <f>SUM(HV102:IG102)</f>
        <v>6045</v>
      </c>
    </row>
    <row r="106" spans="1:241" ht="18" customHeight="1" x14ac:dyDescent="0.3">
      <c r="A106" s="10" t="s">
        <v>366</v>
      </c>
    </row>
    <row r="107" spans="1:241" ht="45" customHeight="1" x14ac:dyDescent="0.3">
      <c r="A107" s="11"/>
      <c r="B107" s="11" t="s">
        <v>126</v>
      </c>
      <c r="C107" s="11" t="s">
        <v>128</v>
      </c>
      <c r="D107" s="11" t="s">
        <v>127</v>
      </c>
      <c r="F107" s="11" t="s">
        <v>365</v>
      </c>
      <c r="G107" s="11" t="s">
        <v>364</v>
      </c>
    </row>
    <row r="108" spans="1:241" x14ac:dyDescent="0.3">
      <c r="A108" s="17">
        <v>2000</v>
      </c>
      <c r="B108" s="13">
        <v>1829</v>
      </c>
      <c r="C108" s="18">
        <v>92</v>
      </c>
      <c r="D108" s="18">
        <f t="shared" ref="D108:D131" si="0">SUM(F108:G108)</f>
        <v>2866.8445400000001</v>
      </c>
      <c r="F108" s="18">
        <v>1466</v>
      </c>
      <c r="G108" s="18">
        <v>1400.8445400000001</v>
      </c>
    </row>
    <row r="109" spans="1:241" x14ac:dyDescent="0.3">
      <c r="A109" s="17">
        <v>2001</v>
      </c>
      <c r="B109" s="13">
        <v>1814</v>
      </c>
      <c r="C109" s="18">
        <v>83</v>
      </c>
      <c r="D109" s="18">
        <f t="shared" si="0"/>
        <v>3063.9007200000001</v>
      </c>
      <c r="F109" s="18">
        <v>1585</v>
      </c>
      <c r="G109" s="18">
        <v>1478.9007200000001</v>
      </c>
    </row>
    <row r="110" spans="1:241" x14ac:dyDescent="0.3">
      <c r="A110" s="17">
        <v>2002</v>
      </c>
      <c r="B110" s="13">
        <v>1884</v>
      </c>
      <c r="C110" s="18">
        <v>96</v>
      </c>
      <c r="D110" s="18">
        <f t="shared" si="0"/>
        <v>3154.0125600000001</v>
      </c>
      <c r="F110" s="18">
        <v>1584</v>
      </c>
      <c r="G110" s="18">
        <v>1570.0125600000001</v>
      </c>
    </row>
    <row r="111" spans="1:241" x14ac:dyDescent="0.3">
      <c r="A111" s="17">
        <v>2003</v>
      </c>
      <c r="B111" s="13">
        <v>2030</v>
      </c>
      <c r="C111" s="18">
        <v>97</v>
      </c>
      <c r="D111" s="18">
        <f t="shared" si="0"/>
        <v>3257.9022000000004</v>
      </c>
      <c r="F111" s="18">
        <v>1594</v>
      </c>
      <c r="G111" s="18">
        <v>1663.9022000000002</v>
      </c>
    </row>
    <row r="112" spans="1:241" x14ac:dyDescent="0.3">
      <c r="A112" s="17">
        <v>2004</v>
      </c>
      <c r="B112" s="13">
        <v>2135</v>
      </c>
      <c r="C112" s="18">
        <v>99</v>
      </c>
      <c r="D112" s="18">
        <f t="shared" si="0"/>
        <v>3468.0147999999999</v>
      </c>
      <c r="F112" s="18">
        <v>1618</v>
      </c>
      <c r="G112" s="18">
        <v>1850.0148000000002</v>
      </c>
    </row>
    <row r="113" spans="1:7" x14ac:dyDescent="0.3">
      <c r="A113" s="17">
        <v>2005</v>
      </c>
      <c r="B113" s="13">
        <v>2160</v>
      </c>
      <c r="C113" s="18">
        <v>103</v>
      </c>
      <c r="D113" s="18">
        <f t="shared" si="0"/>
        <v>3548.9043200000001</v>
      </c>
      <c r="F113" s="18">
        <v>1620</v>
      </c>
      <c r="G113" s="18">
        <v>1928.9043200000001</v>
      </c>
    </row>
    <row r="114" spans="1:7" x14ac:dyDescent="0.3">
      <c r="A114" s="17">
        <v>2006</v>
      </c>
      <c r="B114" s="13">
        <v>2331</v>
      </c>
      <c r="C114" s="18">
        <v>83</v>
      </c>
      <c r="D114" s="18">
        <f t="shared" si="0"/>
        <v>3850.8507400000003</v>
      </c>
      <c r="F114" s="18">
        <v>1675</v>
      </c>
      <c r="G114" s="18">
        <v>2175.8507400000003</v>
      </c>
    </row>
    <row r="115" spans="1:7" x14ac:dyDescent="0.3">
      <c r="A115" s="17">
        <v>2007</v>
      </c>
      <c r="B115" s="13">
        <v>2386</v>
      </c>
      <c r="C115" s="18">
        <v>77</v>
      </c>
      <c r="D115" s="18">
        <f t="shared" si="0"/>
        <v>4130.7966400000005</v>
      </c>
      <c r="F115" s="18">
        <v>1773</v>
      </c>
      <c r="G115" s="18">
        <v>2357.79664</v>
      </c>
    </row>
    <row r="116" spans="1:7" x14ac:dyDescent="0.3">
      <c r="A116" s="17">
        <v>2008</v>
      </c>
      <c r="B116" s="13">
        <v>2332</v>
      </c>
      <c r="C116" s="18">
        <v>80</v>
      </c>
      <c r="D116" s="18">
        <f t="shared" si="0"/>
        <v>4397.7982000000002</v>
      </c>
      <c r="F116" s="18">
        <v>1845</v>
      </c>
      <c r="G116" s="18">
        <v>2552.7982000000002</v>
      </c>
    </row>
    <row r="117" spans="1:7" x14ac:dyDescent="0.3">
      <c r="A117" s="17">
        <v>2009</v>
      </c>
      <c r="B117" s="13">
        <v>1941</v>
      </c>
      <c r="C117" s="18">
        <v>59</v>
      </c>
      <c r="D117" s="18">
        <f t="shared" si="0"/>
        <v>4442.9093599999997</v>
      </c>
      <c r="F117" s="18">
        <v>1884</v>
      </c>
      <c r="G117" s="18">
        <v>2558.9093600000001</v>
      </c>
    </row>
    <row r="118" spans="1:7" x14ac:dyDescent="0.3">
      <c r="A118" s="17">
        <v>2010</v>
      </c>
      <c r="B118" s="13">
        <v>2093</v>
      </c>
      <c r="C118" s="18">
        <v>57</v>
      </c>
      <c r="D118" s="18">
        <f t="shared" si="0"/>
        <v>4533.8534200000004</v>
      </c>
      <c r="F118" s="18">
        <v>2023</v>
      </c>
      <c r="G118" s="18">
        <v>2510.8534200000004</v>
      </c>
    </row>
    <row r="119" spans="1:7" x14ac:dyDescent="0.3">
      <c r="A119" s="17">
        <v>2011</v>
      </c>
      <c r="B119" s="13">
        <v>2055</v>
      </c>
      <c r="C119" s="18">
        <v>52</v>
      </c>
      <c r="D119" s="18">
        <f t="shared" si="0"/>
        <v>4311.7968000000001</v>
      </c>
      <c r="F119" s="18">
        <v>1934</v>
      </c>
      <c r="G119" s="18">
        <v>2377.7968000000001</v>
      </c>
    </row>
    <row r="120" spans="1:7" x14ac:dyDescent="0.3">
      <c r="A120" s="17">
        <v>2012</v>
      </c>
      <c r="B120" s="13">
        <v>2185</v>
      </c>
      <c r="C120" s="18">
        <v>56</v>
      </c>
      <c r="D120" s="18">
        <f t="shared" si="0"/>
        <v>4491.8536199999999</v>
      </c>
      <c r="F120" s="18">
        <v>1956</v>
      </c>
      <c r="G120" s="18">
        <v>2535.8536200000003</v>
      </c>
    </row>
    <row r="121" spans="1:7" x14ac:dyDescent="0.3">
      <c r="A121" s="17">
        <v>2013</v>
      </c>
      <c r="B121" s="13">
        <v>2154</v>
      </c>
      <c r="C121" s="18">
        <v>54</v>
      </c>
      <c r="D121" s="18">
        <f t="shared" si="0"/>
        <v>4394.7424600000004</v>
      </c>
      <c r="F121" s="18">
        <v>1865</v>
      </c>
      <c r="G121" s="18">
        <v>2529.7424600000004</v>
      </c>
    </row>
    <row r="122" spans="1:7" x14ac:dyDescent="0.3">
      <c r="A122" s="17">
        <v>2014</v>
      </c>
      <c r="B122" s="13">
        <v>2117</v>
      </c>
      <c r="C122" s="18">
        <v>50</v>
      </c>
      <c r="D122" s="18">
        <f t="shared" si="0"/>
        <v>4533.7445800000005</v>
      </c>
      <c r="F122" s="18">
        <v>1739</v>
      </c>
      <c r="G122" s="18">
        <v>2794.7445800000005</v>
      </c>
    </row>
    <row r="123" spans="1:7" x14ac:dyDescent="0.3">
      <c r="A123" s="17">
        <v>2015</v>
      </c>
      <c r="B123" s="13">
        <v>2057</v>
      </c>
      <c r="C123" s="18">
        <v>47</v>
      </c>
      <c r="D123" s="18">
        <f t="shared" si="0"/>
        <v>4540.8002800000004</v>
      </c>
      <c r="F123" s="18">
        <v>1728</v>
      </c>
      <c r="G123" s="18">
        <v>2812.8002800000004</v>
      </c>
    </row>
    <row r="124" spans="1:7" x14ac:dyDescent="0.3">
      <c r="A124" s="17">
        <v>2016</v>
      </c>
      <c r="B124" s="13">
        <v>2153</v>
      </c>
      <c r="C124" s="18">
        <v>48</v>
      </c>
      <c r="D124" s="18">
        <f t="shared" si="0"/>
        <v>4883.8571000000002</v>
      </c>
      <c r="F124" s="18">
        <v>1913</v>
      </c>
      <c r="G124" s="18">
        <v>2970.8571000000002</v>
      </c>
    </row>
    <row r="125" spans="1:7" x14ac:dyDescent="0.3">
      <c r="A125" s="17">
        <v>2017</v>
      </c>
      <c r="B125" s="13">
        <v>2201</v>
      </c>
      <c r="C125" s="18">
        <v>66</v>
      </c>
      <c r="D125" s="18">
        <f t="shared" si="0"/>
        <v>4655.31502</v>
      </c>
      <c r="F125" s="18">
        <v>1940.0155200000002</v>
      </c>
      <c r="G125" s="18">
        <v>2715.2995000000001</v>
      </c>
    </row>
    <row r="126" spans="1:7" x14ac:dyDescent="0.3">
      <c r="A126" s="17">
        <v>2018</v>
      </c>
      <c r="B126" s="13">
        <v>2646</v>
      </c>
      <c r="C126" s="18">
        <v>88</v>
      </c>
      <c r="D126" s="18">
        <f t="shared" si="0"/>
        <v>4792.538340000001</v>
      </c>
      <c r="F126" s="18">
        <v>1859.7371000000003</v>
      </c>
      <c r="G126" s="18">
        <v>2932.8012400000002</v>
      </c>
    </row>
    <row r="127" spans="1:7" x14ac:dyDescent="0.3">
      <c r="A127" s="17">
        <v>2019</v>
      </c>
      <c r="B127" s="13">
        <v>2131.68372</v>
      </c>
      <c r="C127" s="18">
        <v>55.833780000000004</v>
      </c>
      <c r="D127" s="18">
        <f t="shared" si="0"/>
        <v>4990.8732600000003</v>
      </c>
      <c r="F127" s="18">
        <v>2070.01656</v>
      </c>
      <c r="G127" s="18">
        <v>2920.8567000000003</v>
      </c>
    </row>
    <row r="128" spans="1:7" x14ac:dyDescent="0.3">
      <c r="A128" s="17">
        <v>2020</v>
      </c>
      <c r="B128" s="13">
        <v>2128.9059200000002</v>
      </c>
      <c r="C128" s="18">
        <v>67.778320000000008</v>
      </c>
      <c r="D128" s="18">
        <f t="shared" si="0"/>
        <v>4843.6498600000004</v>
      </c>
      <c r="F128" s="18">
        <v>1997.7937600000002</v>
      </c>
      <c r="G128" s="18">
        <v>2845.8561000000004</v>
      </c>
    </row>
    <row r="129" spans="1:19" x14ac:dyDescent="0.3">
      <c r="A129" s="17">
        <v>2021</v>
      </c>
      <c r="B129" s="13">
        <v>2209.4621200000001</v>
      </c>
      <c r="C129" s="18">
        <v>29.722460000000002</v>
      </c>
      <c r="D129" s="18">
        <f t="shared" si="0"/>
        <v>5484.7661000000007</v>
      </c>
      <c r="F129" s="18">
        <v>2228.9067200000004</v>
      </c>
      <c r="G129" s="18">
        <v>3255.8593800000003</v>
      </c>
    </row>
    <row r="130" spans="1:19" x14ac:dyDescent="0.3">
      <c r="A130" s="17">
        <v>2022</v>
      </c>
      <c r="B130" s="13">
        <v>2088.3500400000003</v>
      </c>
      <c r="C130" s="18">
        <v>32.222480000000004</v>
      </c>
      <c r="D130" s="18">
        <f t="shared" si="0"/>
        <v>4872.5389800000003</v>
      </c>
      <c r="F130" s="18">
        <v>1966.6824000000001</v>
      </c>
      <c r="G130" s="18">
        <v>2905.8565800000001</v>
      </c>
    </row>
    <row r="131" spans="1:19" x14ac:dyDescent="0.3">
      <c r="A131" s="17">
        <v>2023</v>
      </c>
      <c r="B131" s="13">
        <v>1783.0698200000002</v>
      </c>
      <c r="C131" s="18">
        <v>59.444920000000003</v>
      </c>
      <c r="D131" s="18">
        <f t="shared" si="0"/>
        <v>4013.0876600000001</v>
      </c>
      <c r="F131" s="18">
        <v>2163.0728600000002</v>
      </c>
      <c r="G131" s="18">
        <v>1850.0148000000002</v>
      </c>
    </row>
    <row r="133" spans="1:19" ht="18" customHeight="1" x14ac:dyDescent="0.3">
      <c r="A133" s="10" t="s">
        <v>363</v>
      </c>
    </row>
    <row r="134" spans="1:19" ht="45" customHeight="1" x14ac:dyDescent="0.3">
      <c r="A134" s="11" t="s">
        <v>362</v>
      </c>
      <c r="B134" s="11" t="s">
        <v>361</v>
      </c>
      <c r="C134" s="11" t="s">
        <v>360</v>
      </c>
      <c r="D134" s="11" t="s">
        <v>359</v>
      </c>
      <c r="E134" s="11" t="s">
        <v>358</v>
      </c>
      <c r="F134" s="11" t="s">
        <v>357</v>
      </c>
      <c r="G134" s="11" t="s">
        <v>356</v>
      </c>
      <c r="H134" s="11" t="s">
        <v>355</v>
      </c>
      <c r="I134" s="11" t="s">
        <v>354</v>
      </c>
      <c r="J134" s="11" t="s">
        <v>353</v>
      </c>
      <c r="K134" s="11" t="s">
        <v>352</v>
      </c>
      <c r="L134" s="11" t="s">
        <v>351</v>
      </c>
      <c r="M134" s="11" t="s">
        <v>350</v>
      </c>
      <c r="N134" s="11" t="s">
        <v>349</v>
      </c>
      <c r="O134" s="11" t="s">
        <v>348</v>
      </c>
      <c r="P134" s="11" t="s">
        <v>347</v>
      </c>
      <c r="Q134" s="11" t="s">
        <v>346</v>
      </c>
      <c r="R134" s="11" t="s">
        <v>345</v>
      </c>
      <c r="S134" s="11" t="s">
        <v>344</v>
      </c>
    </row>
    <row r="135" spans="1:19" x14ac:dyDescent="0.3">
      <c r="A135" s="17">
        <v>2000</v>
      </c>
      <c r="B135" s="18">
        <v>8510</v>
      </c>
      <c r="C135" s="14">
        <v>0</v>
      </c>
      <c r="D135" s="13">
        <v>7719</v>
      </c>
      <c r="E135" s="14">
        <v>19</v>
      </c>
      <c r="F135" s="13">
        <v>0</v>
      </c>
      <c r="G135" s="14">
        <v>2</v>
      </c>
      <c r="H135" s="14">
        <v>32</v>
      </c>
      <c r="I135" s="14">
        <v>0</v>
      </c>
      <c r="J135" s="14">
        <v>560</v>
      </c>
      <c r="K135" s="14">
        <v>0</v>
      </c>
      <c r="L135" s="14">
        <v>0</v>
      </c>
      <c r="M135" s="14">
        <v>55</v>
      </c>
      <c r="N135" s="13">
        <v>117</v>
      </c>
      <c r="O135" s="19">
        <v>5</v>
      </c>
      <c r="P135" s="13">
        <v>0</v>
      </c>
      <c r="Q135" s="13">
        <v>0</v>
      </c>
      <c r="R135" s="13">
        <v>496</v>
      </c>
      <c r="S135" s="18">
        <f t="shared" ref="S135:S159" si="1">SUM(C135:Q135)</f>
        <v>8509</v>
      </c>
    </row>
    <row r="136" spans="1:19" x14ac:dyDescent="0.3">
      <c r="A136" s="17">
        <v>2001</v>
      </c>
      <c r="B136" s="18">
        <v>8481</v>
      </c>
      <c r="C136" s="14">
        <v>0</v>
      </c>
      <c r="D136" s="13">
        <v>7636</v>
      </c>
      <c r="E136" s="14">
        <v>20</v>
      </c>
      <c r="F136" s="13">
        <v>0</v>
      </c>
      <c r="G136" s="14">
        <v>2</v>
      </c>
      <c r="H136" s="14">
        <v>38</v>
      </c>
      <c r="I136" s="14">
        <v>0</v>
      </c>
      <c r="J136" s="14">
        <v>566</v>
      </c>
      <c r="K136" s="14">
        <v>0</v>
      </c>
      <c r="L136" s="14">
        <v>0</v>
      </c>
      <c r="M136" s="14">
        <v>22</v>
      </c>
      <c r="N136" s="13">
        <v>189</v>
      </c>
      <c r="O136" s="19">
        <v>7.4</v>
      </c>
      <c r="P136" s="13">
        <v>0</v>
      </c>
      <c r="Q136" s="13">
        <v>0</v>
      </c>
      <c r="R136" s="13">
        <v>412</v>
      </c>
      <c r="S136" s="18">
        <f t="shared" si="1"/>
        <v>8480.4</v>
      </c>
    </row>
    <row r="137" spans="1:19" x14ac:dyDescent="0.3">
      <c r="A137" s="17">
        <v>2002</v>
      </c>
      <c r="B137" s="18">
        <v>8524</v>
      </c>
      <c r="C137" s="14">
        <v>0</v>
      </c>
      <c r="D137" s="13">
        <v>7729</v>
      </c>
      <c r="E137" s="14">
        <v>20</v>
      </c>
      <c r="F137" s="13">
        <v>0</v>
      </c>
      <c r="G137" s="14">
        <v>2</v>
      </c>
      <c r="H137" s="14">
        <v>25</v>
      </c>
      <c r="I137" s="14">
        <v>0</v>
      </c>
      <c r="J137" s="14">
        <v>518</v>
      </c>
      <c r="K137" s="14">
        <v>0</v>
      </c>
      <c r="L137" s="14">
        <v>0</v>
      </c>
      <c r="M137" s="14">
        <v>27</v>
      </c>
      <c r="N137" s="13">
        <v>196</v>
      </c>
      <c r="O137" s="19">
        <v>5.6</v>
      </c>
      <c r="P137" s="13">
        <v>1.4</v>
      </c>
      <c r="Q137" s="13">
        <v>0</v>
      </c>
      <c r="R137" s="13">
        <v>93</v>
      </c>
      <c r="S137" s="18">
        <f t="shared" si="1"/>
        <v>8524</v>
      </c>
    </row>
    <row r="138" spans="1:19" x14ac:dyDescent="0.3">
      <c r="A138" s="17">
        <v>2003</v>
      </c>
      <c r="B138" s="18">
        <v>10158</v>
      </c>
      <c r="C138" s="14">
        <v>0</v>
      </c>
      <c r="D138" s="13">
        <v>9360</v>
      </c>
      <c r="E138" s="14">
        <v>20</v>
      </c>
      <c r="F138" s="13">
        <v>0</v>
      </c>
      <c r="G138" s="14">
        <v>0</v>
      </c>
      <c r="H138" s="14">
        <v>33</v>
      </c>
      <c r="I138" s="14">
        <v>0</v>
      </c>
      <c r="J138" s="14">
        <v>505</v>
      </c>
      <c r="K138" s="14">
        <v>0</v>
      </c>
      <c r="L138" s="14">
        <v>0</v>
      </c>
      <c r="M138" s="14">
        <v>26</v>
      </c>
      <c r="N138" s="13">
        <v>195</v>
      </c>
      <c r="O138" s="19">
        <v>12.8</v>
      </c>
      <c r="P138" s="13">
        <v>6.1</v>
      </c>
      <c r="Q138" s="13">
        <v>0</v>
      </c>
      <c r="R138" s="13">
        <v>347</v>
      </c>
      <c r="S138" s="18">
        <f t="shared" si="1"/>
        <v>10157.9</v>
      </c>
    </row>
    <row r="139" spans="1:19" x14ac:dyDescent="0.3">
      <c r="A139" s="17">
        <v>2004</v>
      </c>
      <c r="B139" s="18">
        <v>10302</v>
      </c>
      <c r="C139" s="14">
        <v>0</v>
      </c>
      <c r="D139" s="13">
        <v>9510</v>
      </c>
      <c r="E139" s="14">
        <v>15</v>
      </c>
      <c r="F139" s="13">
        <v>0</v>
      </c>
      <c r="G139" s="14">
        <v>0</v>
      </c>
      <c r="H139" s="14">
        <v>34</v>
      </c>
      <c r="I139" s="14">
        <v>0</v>
      </c>
      <c r="J139" s="14">
        <v>486</v>
      </c>
      <c r="K139" s="14">
        <v>0</v>
      </c>
      <c r="L139" s="14">
        <v>0</v>
      </c>
      <c r="M139" s="14">
        <v>31</v>
      </c>
      <c r="N139" s="13">
        <v>195</v>
      </c>
      <c r="O139" s="19">
        <v>22.4</v>
      </c>
      <c r="P139" s="13">
        <v>7.6</v>
      </c>
      <c r="Q139" s="13">
        <v>0</v>
      </c>
      <c r="R139" s="13">
        <v>345</v>
      </c>
      <c r="S139" s="18">
        <f t="shared" si="1"/>
        <v>10301</v>
      </c>
    </row>
    <row r="140" spans="1:19" x14ac:dyDescent="0.3">
      <c r="A140" s="17">
        <v>2005</v>
      </c>
      <c r="B140" s="18">
        <v>10201</v>
      </c>
      <c r="C140" s="14">
        <v>0</v>
      </c>
      <c r="D140" s="13">
        <v>9289</v>
      </c>
      <c r="E140" s="14">
        <v>14</v>
      </c>
      <c r="F140" s="13">
        <v>0</v>
      </c>
      <c r="G140" s="14">
        <v>0</v>
      </c>
      <c r="H140" s="14">
        <v>28</v>
      </c>
      <c r="I140" s="14">
        <v>0</v>
      </c>
      <c r="J140" s="14">
        <v>545</v>
      </c>
      <c r="K140" s="14">
        <v>0</v>
      </c>
      <c r="L140" s="14">
        <v>0</v>
      </c>
      <c r="M140" s="14">
        <v>33</v>
      </c>
      <c r="N140" s="13">
        <v>217</v>
      </c>
      <c r="O140" s="19">
        <v>21.5</v>
      </c>
      <c r="P140" s="13">
        <v>53.9</v>
      </c>
      <c r="Q140" s="13">
        <v>0</v>
      </c>
      <c r="R140" s="13">
        <v>346</v>
      </c>
      <c r="S140" s="18">
        <f t="shared" si="1"/>
        <v>10201.4</v>
      </c>
    </row>
    <row r="141" spans="1:19" x14ac:dyDescent="0.3">
      <c r="A141" s="17">
        <v>2006</v>
      </c>
      <c r="B141" s="18">
        <v>9729</v>
      </c>
      <c r="C141" s="14">
        <v>0</v>
      </c>
      <c r="D141" s="13">
        <v>8773</v>
      </c>
      <c r="E141" s="14">
        <v>16</v>
      </c>
      <c r="F141" s="13">
        <v>0</v>
      </c>
      <c r="G141" s="14">
        <v>0</v>
      </c>
      <c r="H141" s="14">
        <v>28</v>
      </c>
      <c r="I141" s="14">
        <v>0</v>
      </c>
      <c r="J141" s="14">
        <v>541</v>
      </c>
      <c r="K141" s="14">
        <v>0</v>
      </c>
      <c r="L141" s="14">
        <v>0</v>
      </c>
      <c r="M141" s="14">
        <v>38</v>
      </c>
      <c r="N141" s="13">
        <v>243</v>
      </c>
      <c r="O141" s="19">
        <v>13.5</v>
      </c>
      <c r="P141" s="13">
        <v>76.3</v>
      </c>
      <c r="Q141" s="13">
        <v>0</v>
      </c>
      <c r="R141" s="13">
        <v>283</v>
      </c>
      <c r="S141" s="18">
        <f t="shared" si="1"/>
        <v>9728.7999999999993</v>
      </c>
    </row>
    <row r="142" spans="1:19" x14ac:dyDescent="0.3">
      <c r="A142" s="17">
        <v>2007</v>
      </c>
      <c r="B142" s="18">
        <v>12188</v>
      </c>
      <c r="C142" s="14">
        <v>0</v>
      </c>
      <c r="D142" s="13">
        <v>11402</v>
      </c>
      <c r="E142" s="14">
        <v>22</v>
      </c>
      <c r="F142" s="13">
        <v>0</v>
      </c>
      <c r="G142" s="14">
        <v>1</v>
      </c>
      <c r="H142" s="14">
        <v>29</v>
      </c>
      <c r="I142" s="14">
        <v>0</v>
      </c>
      <c r="J142" s="14">
        <v>350</v>
      </c>
      <c r="K142" s="14">
        <v>0</v>
      </c>
      <c r="L142" s="14">
        <v>0</v>
      </c>
      <c r="M142" s="14">
        <v>36</v>
      </c>
      <c r="N142" s="13">
        <v>235</v>
      </c>
      <c r="O142" s="19">
        <v>22</v>
      </c>
      <c r="P142" s="13">
        <v>91</v>
      </c>
      <c r="Q142" s="13">
        <v>0</v>
      </c>
      <c r="R142" s="13">
        <v>397</v>
      </c>
      <c r="S142" s="18">
        <f t="shared" si="1"/>
        <v>12188</v>
      </c>
    </row>
    <row r="143" spans="1:19" x14ac:dyDescent="0.3">
      <c r="A143" s="17">
        <v>2008</v>
      </c>
      <c r="B143" s="18">
        <v>10579</v>
      </c>
      <c r="C143" s="14">
        <v>0</v>
      </c>
      <c r="D143" s="13">
        <v>9629</v>
      </c>
      <c r="E143" s="14">
        <v>15</v>
      </c>
      <c r="F143" s="13">
        <v>0</v>
      </c>
      <c r="G143" s="14">
        <v>0</v>
      </c>
      <c r="H143" s="14">
        <v>37</v>
      </c>
      <c r="I143" s="14">
        <v>0</v>
      </c>
      <c r="J143" s="14">
        <v>422</v>
      </c>
      <c r="K143" s="14">
        <v>0</v>
      </c>
      <c r="L143" s="14">
        <v>0</v>
      </c>
      <c r="M143" s="14">
        <v>38</v>
      </c>
      <c r="N143" s="13">
        <v>277</v>
      </c>
      <c r="O143" s="19">
        <v>28</v>
      </c>
      <c r="P143" s="13">
        <v>133</v>
      </c>
      <c r="Q143" s="13">
        <v>0</v>
      </c>
      <c r="R143" s="13">
        <v>1360</v>
      </c>
      <c r="S143" s="18">
        <f t="shared" si="1"/>
        <v>10579</v>
      </c>
    </row>
    <row r="144" spans="1:19" x14ac:dyDescent="0.3">
      <c r="A144" s="17">
        <v>2009</v>
      </c>
      <c r="B144" s="18">
        <v>8777</v>
      </c>
      <c r="C144" s="14">
        <v>0</v>
      </c>
      <c r="D144" s="13">
        <v>7671</v>
      </c>
      <c r="E144" s="14">
        <v>62</v>
      </c>
      <c r="F144" s="13">
        <v>283</v>
      </c>
      <c r="G144" s="14">
        <v>0</v>
      </c>
      <c r="H144" s="14">
        <v>39</v>
      </c>
      <c r="I144" s="14">
        <v>0</v>
      </c>
      <c r="J144" s="14">
        <v>107</v>
      </c>
      <c r="K144" s="14">
        <v>0</v>
      </c>
      <c r="L144" s="14">
        <v>0</v>
      </c>
      <c r="M144" s="14">
        <v>31</v>
      </c>
      <c r="N144" s="13">
        <v>356</v>
      </c>
      <c r="O144" s="19">
        <v>32</v>
      </c>
      <c r="P144" s="13">
        <v>195</v>
      </c>
      <c r="Q144" s="13">
        <v>0</v>
      </c>
      <c r="R144" s="13">
        <v>3023</v>
      </c>
      <c r="S144" s="18">
        <f t="shared" si="1"/>
        <v>8776</v>
      </c>
    </row>
    <row r="145" spans="1:19" x14ac:dyDescent="0.3">
      <c r="A145" s="17">
        <v>2010</v>
      </c>
      <c r="B145" s="18">
        <v>12962</v>
      </c>
      <c r="C145" s="14">
        <v>0</v>
      </c>
      <c r="D145" s="13">
        <v>11043</v>
      </c>
      <c r="E145" s="14">
        <v>122</v>
      </c>
      <c r="F145" s="13">
        <v>706</v>
      </c>
      <c r="G145" s="14">
        <v>0</v>
      </c>
      <c r="H145" s="14">
        <v>41</v>
      </c>
      <c r="I145" s="14">
        <v>0</v>
      </c>
      <c r="J145" s="14">
        <v>304</v>
      </c>
      <c r="K145" s="14">
        <v>0</v>
      </c>
      <c r="L145" s="14">
        <v>0</v>
      </c>
      <c r="M145" s="14">
        <v>36</v>
      </c>
      <c r="N145" s="13">
        <v>407</v>
      </c>
      <c r="O145" s="19">
        <v>27</v>
      </c>
      <c r="P145" s="13">
        <v>277</v>
      </c>
      <c r="Q145" s="13">
        <v>0</v>
      </c>
      <c r="R145" s="13">
        <v>1099</v>
      </c>
      <c r="S145" s="18">
        <f t="shared" si="1"/>
        <v>12963</v>
      </c>
    </row>
    <row r="146" spans="1:19" x14ac:dyDescent="0.3">
      <c r="A146" s="17">
        <v>2011</v>
      </c>
      <c r="B146" s="18">
        <v>12892</v>
      </c>
      <c r="C146" s="14">
        <v>0</v>
      </c>
      <c r="D146" s="13">
        <v>10899</v>
      </c>
      <c r="E146" s="14">
        <v>86</v>
      </c>
      <c r="F146" s="13">
        <v>740</v>
      </c>
      <c r="G146" s="14">
        <v>0</v>
      </c>
      <c r="H146" s="14">
        <v>42</v>
      </c>
      <c r="I146" s="14">
        <v>0</v>
      </c>
      <c r="J146" s="14">
        <v>249</v>
      </c>
      <c r="K146" s="14">
        <v>0</v>
      </c>
      <c r="L146" s="14">
        <v>0</v>
      </c>
      <c r="M146" s="14">
        <v>43</v>
      </c>
      <c r="N146" s="13">
        <v>435</v>
      </c>
      <c r="O146" s="19">
        <v>30</v>
      </c>
      <c r="P146" s="13">
        <v>368</v>
      </c>
      <c r="Q146" s="13">
        <v>0</v>
      </c>
      <c r="R146" s="13">
        <v>1690</v>
      </c>
      <c r="S146" s="18">
        <f t="shared" si="1"/>
        <v>12892</v>
      </c>
    </row>
    <row r="147" spans="1:19" x14ac:dyDescent="0.3">
      <c r="A147" s="17">
        <v>2012</v>
      </c>
      <c r="B147" s="18">
        <v>11966</v>
      </c>
      <c r="C147" s="14">
        <v>0</v>
      </c>
      <c r="D147" s="13">
        <v>9699</v>
      </c>
      <c r="E147" s="14">
        <v>98</v>
      </c>
      <c r="F147" s="13">
        <v>953</v>
      </c>
      <c r="G147" s="14">
        <v>0</v>
      </c>
      <c r="H147" s="14">
        <v>58</v>
      </c>
      <c r="I147" s="14">
        <v>0</v>
      </c>
      <c r="J147" s="14">
        <v>123</v>
      </c>
      <c r="K147" s="14">
        <v>0</v>
      </c>
      <c r="L147" s="14">
        <v>0</v>
      </c>
      <c r="M147" s="14">
        <v>48</v>
      </c>
      <c r="N147" s="13">
        <v>511</v>
      </c>
      <c r="O147" s="19">
        <v>42</v>
      </c>
      <c r="P147" s="13">
        <v>434</v>
      </c>
      <c r="Q147" s="13">
        <v>0</v>
      </c>
      <c r="R147" s="13">
        <v>2710</v>
      </c>
      <c r="S147" s="18">
        <f t="shared" si="1"/>
        <v>11966</v>
      </c>
    </row>
    <row r="148" spans="1:19" x14ac:dyDescent="0.3">
      <c r="A148" s="17">
        <v>2013</v>
      </c>
      <c r="B148" s="18">
        <v>13274</v>
      </c>
      <c r="C148" s="14">
        <v>12</v>
      </c>
      <c r="D148" s="13">
        <v>11388</v>
      </c>
      <c r="E148" s="14">
        <v>71</v>
      </c>
      <c r="F148" s="13">
        <v>621</v>
      </c>
      <c r="G148" s="14">
        <v>0</v>
      </c>
      <c r="H148" s="14">
        <v>134</v>
      </c>
      <c r="I148" s="14">
        <v>0</v>
      </c>
      <c r="J148" s="14">
        <v>89</v>
      </c>
      <c r="K148" s="14">
        <v>21</v>
      </c>
      <c r="L148" s="14">
        <v>59</v>
      </c>
      <c r="M148" s="14">
        <v>25</v>
      </c>
      <c r="N148" s="13">
        <v>299</v>
      </c>
      <c r="O148" s="19">
        <v>26</v>
      </c>
      <c r="P148" s="13">
        <v>529</v>
      </c>
      <c r="Q148" s="13">
        <v>0</v>
      </c>
      <c r="R148" s="13">
        <v>2712</v>
      </c>
      <c r="S148" s="18">
        <f t="shared" si="1"/>
        <v>13274</v>
      </c>
    </row>
    <row r="149" spans="1:19" x14ac:dyDescent="0.3">
      <c r="A149" s="17">
        <v>2014</v>
      </c>
      <c r="B149" s="18">
        <v>12430</v>
      </c>
      <c r="C149" s="14">
        <v>6</v>
      </c>
      <c r="D149" s="13">
        <v>10246</v>
      </c>
      <c r="E149" s="14">
        <v>53</v>
      </c>
      <c r="F149" s="13">
        <v>687</v>
      </c>
      <c r="G149" s="14">
        <v>0</v>
      </c>
      <c r="H149" s="14">
        <v>43</v>
      </c>
      <c r="I149" s="14">
        <v>0</v>
      </c>
      <c r="J149" s="14">
        <v>64</v>
      </c>
      <c r="K149" s="14">
        <v>29</v>
      </c>
      <c r="L149" s="14">
        <v>112</v>
      </c>
      <c r="M149" s="14">
        <v>24</v>
      </c>
      <c r="N149" s="13">
        <v>534</v>
      </c>
      <c r="O149" s="19">
        <v>27</v>
      </c>
      <c r="P149" s="13">
        <v>604</v>
      </c>
      <c r="Q149" s="13">
        <v>0</v>
      </c>
      <c r="R149" s="13">
        <v>3827</v>
      </c>
      <c r="S149" s="18">
        <f t="shared" si="1"/>
        <v>12429</v>
      </c>
    </row>
    <row r="150" spans="1:19" x14ac:dyDescent="0.3">
      <c r="A150" s="17">
        <v>2015</v>
      </c>
      <c r="B150" s="18">
        <v>10417</v>
      </c>
      <c r="C150" s="14">
        <v>0</v>
      </c>
      <c r="D150" s="13">
        <v>7887</v>
      </c>
      <c r="E150" s="14">
        <v>50</v>
      </c>
      <c r="F150" s="13">
        <v>710</v>
      </c>
      <c r="G150" s="14">
        <v>0</v>
      </c>
      <c r="H150" s="14">
        <v>57</v>
      </c>
      <c r="I150" s="14">
        <v>0</v>
      </c>
      <c r="J150" s="14">
        <v>62</v>
      </c>
      <c r="K150" s="14">
        <v>50</v>
      </c>
      <c r="L150" s="14">
        <v>128</v>
      </c>
      <c r="M150" s="14">
        <v>19</v>
      </c>
      <c r="N150" s="13">
        <v>712</v>
      </c>
      <c r="O150" s="19">
        <v>27</v>
      </c>
      <c r="P150" s="13">
        <v>715</v>
      </c>
      <c r="Q150" s="13">
        <v>0</v>
      </c>
      <c r="R150" s="13">
        <v>5453</v>
      </c>
      <c r="S150" s="18">
        <f t="shared" si="1"/>
        <v>10417</v>
      </c>
    </row>
    <row r="151" spans="1:19" x14ac:dyDescent="0.3">
      <c r="A151" s="17">
        <v>2016</v>
      </c>
      <c r="B151" s="18">
        <v>12170</v>
      </c>
      <c r="C151" s="14">
        <v>0</v>
      </c>
      <c r="D151" s="13">
        <v>9623</v>
      </c>
      <c r="E151" s="14">
        <v>50</v>
      </c>
      <c r="F151" s="13">
        <v>815</v>
      </c>
      <c r="G151" s="14">
        <v>115</v>
      </c>
      <c r="H151" s="14">
        <v>138</v>
      </c>
      <c r="I151" s="14">
        <v>0</v>
      </c>
      <c r="J151" s="14">
        <v>74</v>
      </c>
      <c r="K151" s="14">
        <v>45</v>
      </c>
      <c r="L151" s="14">
        <v>129</v>
      </c>
      <c r="M151" s="14">
        <v>25</v>
      </c>
      <c r="N151" s="13">
        <v>517</v>
      </c>
      <c r="O151" s="19">
        <v>35</v>
      </c>
      <c r="P151" s="13">
        <v>594</v>
      </c>
      <c r="Q151" s="13">
        <v>9.6999999999999993</v>
      </c>
      <c r="R151" s="13">
        <v>3573</v>
      </c>
      <c r="S151" s="18">
        <f t="shared" si="1"/>
        <v>12169.7</v>
      </c>
    </row>
    <row r="152" spans="1:19" x14ac:dyDescent="0.3">
      <c r="A152" s="17">
        <v>2017</v>
      </c>
      <c r="B152" s="18">
        <v>13160</v>
      </c>
      <c r="C152" s="14">
        <v>18</v>
      </c>
      <c r="D152" s="13">
        <v>9912</v>
      </c>
      <c r="E152" s="14">
        <v>109</v>
      </c>
      <c r="F152" s="13">
        <v>975</v>
      </c>
      <c r="G152" s="14">
        <v>0</v>
      </c>
      <c r="H152" s="14">
        <v>117</v>
      </c>
      <c r="I152" s="14">
        <v>1</v>
      </c>
      <c r="J152" s="14">
        <v>63</v>
      </c>
      <c r="K152" s="14">
        <v>42</v>
      </c>
      <c r="L152" s="14">
        <v>141</v>
      </c>
      <c r="M152" s="14">
        <v>21</v>
      </c>
      <c r="N152" s="13">
        <v>997</v>
      </c>
      <c r="O152" s="19">
        <v>26</v>
      </c>
      <c r="P152" s="13">
        <v>723</v>
      </c>
      <c r="Q152" s="13">
        <v>14.5</v>
      </c>
      <c r="R152" s="13">
        <v>2281</v>
      </c>
      <c r="S152" s="18">
        <f t="shared" si="1"/>
        <v>13159.5</v>
      </c>
    </row>
    <row r="153" spans="1:19" x14ac:dyDescent="0.3">
      <c r="A153" s="17">
        <v>2018</v>
      </c>
      <c r="B153" s="18">
        <v>12364</v>
      </c>
      <c r="C153" s="14">
        <v>0</v>
      </c>
      <c r="D153" s="13">
        <v>9380</v>
      </c>
      <c r="E153" s="14">
        <v>47</v>
      </c>
      <c r="F153" s="13">
        <v>1197</v>
      </c>
      <c r="G153" s="14">
        <v>0</v>
      </c>
      <c r="H153" s="14">
        <v>83</v>
      </c>
      <c r="I153" s="14">
        <v>0</v>
      </c>
      <c r="J153" s="14">
        <v>57</v>
      </c>
      <c r="K153" s="14">
        <v>38</v>
      </c>
      <c r="L153" s="14">
        <v>142</v>
      </c>
      <c r="M153" s="14">
        <v>26</v>
      </c>
      <c r="N153" s="13">
        <v>711</v>
      </c>
      <c r="O153" s="19">
        <v>15</v>
      </c>
      <c r="P153" s="13">
        <v>636</v>
      </c>
      <c r="Q153" s="13">
        <v>30.8</v>
      </c>
      <c r="R153" s="13">
        <v>3053</v>
      </c>
      <c r="S153" s="18">
        <f t="shared" si="1"/>
        <v>12362.8</v>
      </c>
    </row>
    <row r="154" spans="1:19" x14ac:dyDescent="0.3">
      <c r="A154" s="17">
        <v>2019</v>
      </c>
      <c r="B154" s="18">
        <v>7615</v>
      </c>
      <c r="C154" s="14">
        <v>0</v>
      </c>
      <c r="D154" s="13">
        <v>4295</v>
      </c>
      <c r="E154" s="14">
        <v>24</v>
      </c>
      <c r="F154" s="13">
        <v>1247</v>
      </c>
      <c r="G154" s="14">
        <v>0</v>
      </c>
      <c r="H154" s="14">
        <v>27</v>
      </c>
      <c r="I154" s="14">
        <v>0</v>
      </c>
      <c r="J154" s="14">
        <v>38</v>
      </c>
      <c r="K154" s="14">
        <v>39</v>
      </c>
      <c r="L154" s="14">
        <v>128</v>
      </c>
      <c r="M154" s="14">
        <v>13</v>
      </c>
      <c r="N154" s="13">
        <v>1043</v>
      </c>
      <c r="O154" s="19">
        <v>19</v>
      </c>
      <c r="P154" s="13">
        <v>687</v>
      </c>
      <c r="Q154" s="13">
        <v>73.5</v>
      </c>
      <c r="R154" s="13">
        <v>4862</v>
      </c>
      <c r="S154" s="18">
        <f t="shared" si="1"/>
        <v>7633.5</v>
      </c>
    </row>
    <row r="155" spans="1:19" x14ac:dyDescent="0.3">
      <c r="A155" s="17">
        <v>2020</v>
      </c>
      <c r="B155" s="18">
        <v>5956.5</v>
      </c>
      <c r="C155" s="14">
        <v>0</v>
      </c>
      <c r="D155" s="13">
        <v>2225</v>
      </c>
      <c r="E155" s="14">
        <v>12</v>
      </c>
      <c r="F155" s="13">
        <v>1730</v>
      </c>
      <c r="G155" s="14">
        <v>0</v>
      </c>
      <c r="H155" s="14">
        <v>22</v>
      </c>
      <c r="I155" s="14">
        <v>0</v>
      </c>
      <c r="J155" s="14">
        <v>27</v>
      </c>
      <c r="K155" s="14">
        <v>31</v>
      </c>
      <c r="L155" s="14">
        <v>149</v>
      </c>
      <c r="M155" s="14">
        <v>16</v>
      </c>
      <c r="N155" s="13">
        <v>748</v>
      </c>
      <c r="O155" s="19">
        <v>30</v>
      </c>
      <c r="P155" s="13">
        <v>844</v>
      </c>
      <c r="Q155" s="13">
        <v>245</v>
      </c>
      <c r="R155" s="13">
        <v>7367</v>
      </c>
      <c r="S155" s="18">
        <f t="shared" si="1"/>
        <v>6079</v>
      </c>
    </row>
    <row r="156" spans="1:19" x14ac:dyDescent="0.3">
      <c r="A156" s="17">
        <v>2021</v>
      </c>
      <c r="B156" s="18">
        <v>7082</v>
      </c>
      <c r="C156" s="14">
        <v>0</v>
      </c>
      <c r="D156" s="13">
        <v>3417</v>
      </c>
      <c r="E156" s="14">
        <v>0</v>
      </c>
      <c r="F156" s="13">
        <v>1662</v>
      </c>
      <c r="G156" s="14">
        <v>0</v>
      </c>
      <c r="H156" s="14">
        <v>37</v>
      </c>
      <c r="I156" s="14">
        <v>0</v>
      </c>
      <c r="J156" s="14">
        <v>21</v>
      </c>
      <c r="K156" s="14">
        <v>15</v>
      </c>
      <c r="L156" s="14">
        <v>151</v>
      </c>
      <c r="M156" s="14">
        <v>6</v>
      </c>
      <c r="N156" s="13">
        <v>667</v>
      </c>
      <c r="O156" s="19">
        <v>21</v>
      </c>
      <c r="P156" s="13">
        <v>731</v>
      </c>
      <c r="Q156" s="13">
        <v>354</v>
      </c>
      <c r="R156" s="13">
        <v>7333</v>
      </c>
      <c r="S156" s="18">
        <f t="shared" si="1"/>
        <v>7082</v>
      </c>
    </row>
    <row r="157" spans="1:19" x14ac:dyDescent="0.3">
      <c r="A157" s="17">
        <v>2022</v>
      </c>
      <c r="B157" s="18">
        <v>8910</v>
      </c>
      <c r="C157" s="14">
        <v>0</v>
      </c>
      <c r="D157" s="13">
        <v>5078</v>
      </c>
      <c r="E157" s="14">
        <v>11</v>
      </c>
      <c r="F157" s="13">
        <v>1513</v>
      </c>
      <c r="G157" s="14">
        <v>0</v>
      </c>
      <c r="H157" s="14">
        <v>34</v>
      </c>
      <c r="I157" s="14">
        <v>0</v>
      </c>
      <c r="J157" s="14">
        <v>29</v>
      </c>
      <c r="K157" s="14">
        <v>5</v>
      </c>
      <c r="L157" s="14">
        <v>136</v>
      </c>
      <c r="M157" s="14">
        <v>10</v>
      </c>
      <c r="N157" s="13">
        <v>807</v>
      </c>
      <c r="O157" s="19">
        <v>23</v>
      </c>
      <c r="P157" s="13">
        <v>668</v>
      </c>
      <c r="Q157" s="13">
        <v>596</v>
      </c>
      <c r="R157" s="13">
        <v>7186</v>
      </c>
      <c r="S157" s="18">
        <f t="shared" si="1"/>
        <v>8910</v>
      </c>
    </row>
    <row r="158" spans="1:19" x14ac:dyDescent="0.3">
      <c r="A158" s="17">
        <v>2023</v>
      </c>
      <c r="B158" s="18">
        <v>5714</v>
      </c>
      <c r="C158" s="14">
        <v>0</v>
      </c>
      <c r="D158" s="13">
        <v>1971</v>
      </c>
      <c r="E158" s="14">
        <v>4</v>
      </c>
      <c r="F158" s="13">
        <v>1312</v>
      </c>
      <c r="G158" s="14">
        <v>0</v>
      </c>
      <c r="H158" s="14">
        <v>18</v>
      </c>
      <c r="I158" s="14">
        <v>0</v>
      </c>
      <c r="J158" s="14">
        <v>22</v>
      </c>
      <c r="K158" s="14">
        <v>3</v>
      </c>
      <c r="L158" s="14">
        <v>136</v>
      </c>
      <c r="M158" s="14">
        <v>2</v>
      </c>
      <c r="N158" s="13">
        <v>818</v>
      </c>
      <c r="O158" s="19">
        <v>24</v>
      </c>
      <c r="P158" s="13">
        <v>683</v>
      </c>
      <c r="Q158" s="13">
        <v>721</v>
      </c>
      <c r="R158" s="13">
        <v>7660</v>
      </c>
      <c r="S158" s="18">
        <f t="shared" si="1"/>
        <v>5714</v>
      </c>
    </row>
    <row r="159" spans="1:19" x14ac:dyDescent="0.3">
      <c r="A159" s="17">
        <v>2024</v>
      </c>
      <c r="B159" s="18">
        <v>6110</v>
      </c>
      <c r="C159" s="14">
        <v>0</v>
      </c>
      <c r="D159" s="13">
        <v>1507</v>
      </c>
      <c r="E159" s="14">
        <v>1</v>
      </c>
      <c r="F159" s="13">
        <v>1322</v>
      </c>
      <c r="G159" s="14">
        <v>0</v>
      </c>
      <c r="H159" s="14">
        <v>18</v>
      </c>
      <c r="I159" s="14">
        <v>0</v>
      </c>
      <c r="J159" s="14">
        <v>28</v>
      </c>
      <c r="K159" s="14">
        <v>1</v>
      </c>
      <c r="L159" s="14">
        <v>134</v>
      </c>
      <c r="M159" s="14">
        <v>5</v>
      </c>
      <c r="N159" s="13">
        <v>880</v>
      </c>
      <c r="O159" s="19">
        <v>30</v>
      </c>
      <c r="P159" s="13">
        <v>1164</v>
      </c>
      <c r="Q159" s="13">
        <v>1020</v>
      </c>
      <c r="R159" s="13">
        <v>5478</v>
      </c>
      <c r="S159" s="18">
        <f t="shared" si="1"/>
        <v>6110</v>
      </c>
    </row>
    <row r="161" spans="1:6" ht="18" customHeight="1" x14ac:dyDescent="0.3">
      <c r="A161" s="10" t="s">
        <v>343</v>
      </c>
    </row>
    <row r="162" spans="1:6" ht="32" customHeight="1" x14ac:dyDescent="0.3">
      <c r="A162" s="11" t="s">
        <v>342</v>
      </c>
      <c r="B162" s="11" t="s">
        <v>341</v>
      </c>
      <c r="C162" s="11" t="s">
        <v>340</v>
      </c>
      <c r="D162" s="11" t="s">
        <v>241</v>
      </c>
      <c r="E162" s="11" t="s">
        <v>339</v>
      </c>
      <c r="F162" s="11" t="s">
        <v>338</v>
      </c>
    </row>
    <row r="163" spans="1:6" x14ac:dyDescent="0.3">
      <c r="A163" s="17">
        <v>2000</v>
      </c>
      <c r="B163" s="18">
        <f t="shared" ref="B163:B187" si="2">C135+D135+E135+G135+H135+I135+J135+N135</f>
        <v>8449</v>
      </c>
      <c r="C163" s="18">
        <f t="shared" ref="C163:C187" si="3">F135+K135+M135+O135+P135+Q135+L135</f>
        <v>60</v>
      </c>
      <c r="D163" s="18">
        <f t="shared" ref="D163:D187" si="4">SUM(B163:C163)</f>
        <v>8509</v>
      </c>
      <c r="E163" s="20">
        <f t="shared" ref="E163:E187" si="5">B163/D163</f>
        <v>0.99294864261370319</v>
      </c>
      <c r="F163" s="20">
        <f t="shared" ref="F163:F187" si="6">C163/D163</f>
        <v>7.051357386296862E-3</v>
      </c>
    </row>
    <row r="164" spans="1:6" x14ac:dyDescent="0.3">
      <c r="A164" s="17">
        <v>2001</v>
      </c>
      <c r="B164" s="18">
        <f t="shared" si="2"/>
        <v>8451</v>
      </c>
      <c r="C164" s="18">
        <f t="shared" si="3"/>
        <v>29.4</v>
      </c>
      <c r="D164" s="18">
        <f t="shared" si="4"/>
        <v>8480.4</v>
      </c>
      <c r="E164" s="20">
        <f t="shared" si="5"/>
        <v>0.99653318239705679</v>
      </c>
      <c r="F164" s="20">
        <f t="shared" si="6"/>
        <v>3.4668176029432575E-3</v>
      </c>
    </row>
    <row r="165" spans="1:6" x14ac:dyDescent="0.3">
      <c r="A165" s="17">
        <v>2002</v>
      </c>
      <c r="B165" s="18">
        <f t="shared" si="2"/>
        <v>8490</v>
      </c>
      <c r="C165" s="18">
        <f t="shared" si="3"/>
        <v>34</v>
      </c>
      <c r="D165" s="18">
        <f t="shared" si="4"/>
        <v>8524</v>
      </c>
      <c r="E165" s="20">
        <f t="shared" si="5"/>
        <v>0.99601126231816051</v>
      </c>
      <c r="F165" s="20">
        <f t="shared" si="6"/>
        <v>3.9887376818395119E-3</v>
      </c>
    </row>
    <row r="166" spans="1:6" x14ac:dyDescent="0.3">
      <c r="A166" s="17">
        <v>2003</v>
      </c>
      <c r="B166" s="18">
        <f t="shared" si="2"/>
        <v>10113</v>
      </c>
      <c r="C166" s="18">
        <f t="shared" si="3"/>
        <v>44.9</v>
      </c>
      <c r="D166" s="18">
        <f t="shared" si="4"/>
        <v>10157.9</v>
      </c>
      <c r="E166" s="20">
        <f t="shared" si="5"/>
        <v>0.99557979503637561</v>
      </c>
      <c r="F166" s="20">
        <f t="shared" si="6"/>
        <v>4.4202049636243709E-3</v>
      </c>
    </row>
    <row r="167" spans="1:6" x14ac:dyDescent="0.3">
      <c r="A167" s="17">
        <v>2004</v>
      </c>
      <c r="B167" s="18">
        <f t="shared" si="2"/>
        <v>10240</v>
      </c>
      <c r="C167" s="18">
        <f t="shared" si="3"/>
        <v>61</v>
      </c>
      <c r="D167" s="18">
        <f t="shared" si="4"/>
        <v>10301</v>
      </c>
      <c r="E167" s="20">
        <f t="shared" si="5"/>
        <v>0.99407824483059892</v>
      </c>
      <c r="F167" s="20">
        <f t="shared" si="6"/>
        <v>5.9217551694010287E-3</v>
      </c>
    </row>
    <row r="168" spans="1:6" x14ac:dyDescent="0.3">
      <c r="A168" s="17">
        <v>2005</v>
      </c>
      <c r="B168" s="18">
        <f t="shared" si="2"/>
        <v>10093</v>
      </c>
      <c r="C168" s="18">
        <f t="shared" si="3"/>
        <v>108.4</v>
      </c>
      <c r="D168" s="18">
        <f t="shared" si="4"/>
        <v>10201.4</v>
      </c>
      <c r="E168" s="20">
        <f t="shared" si="5"/>
        <v>0.98937400748916815</v>
      </c>
      <c r="F168" s="20">
        <f t="shared" si="6"/>
        <v>1.0625992510831848E-2</v>
      </c>
    </row>
    <row r="169" spans="1:6" x14ac:dyDescent="0.3">
      <c r="A169" s="17">
        <v>2006</v>
      </c>
      <c r="B169" s="18">
        <f t="shared" si="2"/>
        <v>9601</v>
      </c>
      <c r="C169" s="18">
        <f t="shared" si="3"/>
        <v>127.8</v>
      </c>
      <c r="D169" s="18">
        <f t="shared" si="4"/>
        <v>9728.7999999999993</v>
      </c>
      <c r="E169" s="20">
        <f t="shared" si="5"/>
        <v>0.98686374475783245</v>
      </c>
      <c r="F169" s="20">
        <f t="shared" si="6"/>
        <v>1.3136255242167586E-2</v>
      </c>
    </row>
    <row r="170" spans="1:6" x14ac:dyDescent="0.3">
      <c r="A170" s="17">
        <v>2007</v>
      </c>
      <c r="B170" s="18">
        <f t="shared" si="2"/>
        <v>12039</v>
      </c>
      <c r="C170" s="18">
        <f t="shared" si="3"/>
        <v>149</v>
      </c>
      <c r="D170" s="18">
        <f t="shared" si="4"/>
        <v>12188</v>
      </c>
      <c r="E170" s="20">
        <f t="shared" si="5"/>
        <v>0.9877748605185428</v>
      </c>
      <c r="F170" s="20">
        <f t="shared" si="6"/>
        <v>1.222513948145717E-2</v>
      </c>
    </row>
    <row r="171" spans="1:6" x14ac:dyDescent="0.3">
      <c r="A171" s="17">
        <v>2008</v>
      </c>
      <c r="B171" s="18">
        <f t="shared" si="2"/>
        <v>10380</v>
      </c>
      <c r="C171" s="18">
        <f t="shared" si="3"/>
        <v>199</v>
      </c>
      <c r="D171" s="18">
        <f t="shared" si="4"/>
        <v>10579</v>
      </c>
      <c r="E171" s="20">
        <f t="shared" si="5"/>
        <v>0.98118914831269499</v>
      </c>
      <c r="F171" s="20">
        <f t="shared" si="6"/>
        <v>1.8810851687305039E-2</v>
      </c>
    </row>
    <row r="172" spans="1:6" x14ac:dyDescent="0.3">
      <c r="A172" s="17">
        <v>2009</v>
      </c>
      <c r="B172" s="18">
        <f t="shared" si="2"/>
        <v>8235</v>
      </c>
      <c r="C172" s="18">
        <f t="shared" si="3"/>
        <v>541</v>
      </c>
      <c r="D172" s="18">
        <f t="shared" si="4"/>
        <v>8776</v>
      </c>
      <c r="E172" s="20">
        <f t="shared" si="5"/>
        <v>0.93835460346399269</v>
      </c>
      <c r="F172" s="20">
        <f t="shared" si="6"/>
        <v>6.1645396536007292E-2</v>
      </c>
    </row>
    <row r="173" spans="1:6" x14ac:dyDescent="0.3">
      <c r="A173" s="17">
        <v>2010</v>
      </c>
      <c r="B173" s="18">
        <f t="shared" si="2"/>
        <v>11917</v>
      </c>
      <c r="C173" s="18">
        <f t="shared" si="3"/>
        <v>1046</v>
      </c>
      <c r="D173" s="18">
        <f t="shared" si="4"/>
        <v>12963</v>
      </c>
      <c r="E173" s="20">
        <f t="shared" si="5"/>
        <v>0.91930880197485154</v>
      </c>
      <c r="F173" s="20">
        <f t="shared" si="6"/>
        <v>8.06911980251485E-2</v>
      </c>
    </row>
    <row r="174" spans="1:6" x14ac:dyDescent="0.3">
      <c r="A174" s="17">
        <v>2011</v>
      </c>
      <c r="B174" s="18">
        <f t="shared" si="2"/>
        <v>11711</v>
      </c>
      <c r="C174" s="18">
        <f t="shared" si="3"/>
        <v>1181</v>
      </c>
      <c r="D174" s="18">
        <f t="shared" si="4"/>
        <v>12892</v>
      </c>
      <c r="E174" s="20">
        <f t="shared" si="5"/>
        <v>0.90839280173751169</v>
      </c>
      <c r="F174" s="20">
        <f t="shared" si="6"/>
        <v>9.1607198262488365E-2</v>
      </c>
    </row>
    <row r="175" spans="1:6" x14ac:dyDescent="0.3">
      <c r="A175" s="17">
        <v>2012</v>
      </c>
      <c r="B175" s="18">
        <f t="shared" si="2"/>
        <v>10489</v>
      </c>
      <c r="C175" s="18">
        <f t="shared" si="3"/>
        <v>1477</v>
      </c>
      <c r="D175" s="18">
        <f t="shared" si="4"/>
        <v>11966</v>
      </c>
      <c r="E175" s="20">
        <f t="shared" si="5"/>
        <v>0.87656693966237675</v>
      </c>
      <c r="F175" s="20">
        <f t="shared" si="6"/>
        <v>0.12343306033762326</v>
      </c>
    </row>
    <row r="176" spans="1:6" x14ac:dyDescent="0.3">
      <c r="A176" s="17">
        <v>2013</v>
      </c>
      <c r="B176" s="18">
        <f t="shared" si="2"/>
        <v>11993</v>
      </c>
      <c r="C176" s="18">
        <f t="shared" si="3"/>
        <v>1281</v>
      </c>
      <c r="D176" s="18">
        <f t="shared" si="4"/>
        <v>13274</v>
      </c>
      <c r="E176" s="20">
        <f t="shared" si="5"/>
        <v>0.90349555522073222</v>
      </c>
      <c r="F176" s="20">
        <f t="shared" si="6"/>
        <v>9.6504444779267742E-2</v>
      </c>
    </row>
    <row r="177" spans="1:6" x14ac:dyDescent="0.3">
      <c r="A177" s="17">
        <v>2014</v>
      </c>
      <c r="B177" s="18">
        <f t="shared" si="2"/>
        <v>10946</v>
      </c>
      <c r="C177" s="18">
        <f t="shared" si="3"/>
        <v>1483</v>
      </c>
      <c r="D177" s="18">
        <f t="shared" si="4"/>
        <v>12429</v>
      </c>
      <c r="E177" s="20">
        <f t="shared" si="5"/>
        <v>0.88068227532383936</v>
      </c>
      <c r="F177" s="20">
        <f t="shared" si="6"/>
        <v>0.11931772467616059</v>
      </c>
    </row>
    <row r="178" spans="1:6" x14ac:dyDescent="0.3">
      <c r="A178" s="17">
        <v>2015</v>
      </c>
      <c r="B178" s="18">
        <f t="shared" si="2"/>
        <v>8768</v>
      </c>
      <c r="C178" s="18">
        <f t="shared" si="3"/>
        <v>1649</v>
      </c>
      <c r="D178" s="18">
        <f t="shared" si="4"/>
        <v>10417</v>
      </c>
      <c r="E178" s="20">
        <f t="shared" si="5"/>
        <v>0.84170106556590185</v>
      </c>
      <c r="F178" s="20">
        <f t="shared" si="6"/>
        <v>0.15829893443409812</v>
      </c>
    </row>
    <row r="179" spans="1:6" x14ac:dyDescent="0.3">
      <c r="A179" s="17">
        <v>2016</v>
      </c>
      <c r="B179" s="18">
        <f t="shared" si="2"/>
        <v>10517</v>
      </c>
      <c r="C179" s="18">
        <f t="shared" si="3"/>
        <v>1652.7</v>
      </c>
      <c r="D179" s="18">
        <f t="shared" si="4"/>
        <v>12169.7</v>
      </c>
      <c r="E179" s="20">
        <f t="shared" si="5"/>
        <v>0.86419550194335104</v>
      </c>
      <c r="F179" s="20">
        <f t="shared" si="6"/>
        <v>0.13580449805664888</v>
      </c>
    </row>
    <row r="180" spans="1:6" x14ac:dyDescent="0.3">
      <c r="A180" s="17">
        <v>2017</v>
      </c>
      <c r="B180" s="18">
        <f t="shared" si="2"/>
        <v>11217</v>
      </c>
      <c r="C180" s="18">
        <f t="shared" si="3"/>
        <v>1942.5</v>
      </c>
      <c r="D180" s="18">
        <f t="shared" si="4"/>
        <v>13159.5</v>
      </c>
      <c r="E180" s="20">
        <f t="shared" si="5"/>
        <v>0.85238800866294318</v>
      </c>
      <c r="F180" s="20">
        <f t="shared" si="6"/>
        <v>0.14761199133705688</v>
      </c>
    </row>
    <row r="181" spans="1:6" x14ac:dyDescent="0.3">
      <c r="A181" s="17">
        <v>2018</v>
      </c>
      <c r="B181" s="18">
        <f t="shared" si="2"/>
        <v>10278</v>
      </c>
      <c r="C181" s="18">
        <f t="shared" si="3"/>
        <v>2084.8000000000002</v>
      </c>
      <c r="D181" s="18">
        <f t="shared" si="4"/>
        <v>12362.8</v>
      </c>
      <c r="E181" s="20">
        <f t="shared" si="5"/>
        <v>0.83136506293072776</v>
      </c>
      <c r="F181" s="20">
        <f t="shared" si="6"/>
        <v>0.16863493706927235</v>
      </c>
    </row>
    <row r="182" spans="1:6" x14ac:dyDescent="0.3">
      <c r="A182" s="17">
        <v>2019</v>
      </c>
      <c r="B182" s="18">
        <f t="shared" si="2"/>
        <v>5427</v>
      </c>
      <c r="C182" s="18">
        <f t="shared" si="3"/>
        <v>2206.5</v>
      </c>
      <c r="D182" s="18">
        <f t="shared" si="4"/>
        <v>7633.5</v>
      </c>
      <c r="E182" s="20">
        <f t="shared" si="5"/>
        <v>0.71094517586952255</v>
      </c>
      <c r="F182" s="20">
        <f t="shared" si="6"/>
        <v>0.28905482413047751</v>
      </c>
    </row>
    <row r="183" spans="1:6" x14ac:dyDescent="0.3">
      <c r="A183" s="17">
        <v>2020</v>
      </c>
      <c r="B183" s="18">
        <f t="shared" si="2"/>
        <v>3034</v>
      </c>
      <c r="C183" s="18">
        <f t="shared" si="3"/>
        <v>3045</v>
      </c>
      <c r="D183" s="18">
        <f t="shared" si="4"/>
        <v>6079</v>
      </c>
      <c r="E183" s="20">
        <f t="shared" si="5"/>
        <v>0.49909524592860666</v>
      </c>
      <c r="F183" s="20">
        <f t="shared" si="6"/>
        <v>0.50090475407139334</v>
      </c>
    </row>
    <row r="184" spans="1:6" x14ac:dyDescent="0.3">
      <c r="A184" s="17">
        <v>2021</v>
      </c>
      <c r="B184" s="18">
        <f t="shared" si="2"/>
        <v>4142</v>
      </c>
      <c r="C184" s="18">
        <f t="shared" si="3"/>
        <v>2940</v>
      </c>
      <c r="D184" s="18">
        <f t="shared" si="4"/>
        <v>7082</v>
      </c>
      <c r="E184" s="20">
        <f t="shared" si="5"/>
        <v>0.58486303304151366</v>
      </c>
      <c r="F184" s="20">
        <f t="shared" si="6"/>
        <v>0.41513696695848629</v>
      </c>
    </row>
    <row r="185" spans="1:6" x14ac:dyDescent="0.3">
      <c r="A185" s="17">
        <v>2022</v>
      </c>
      <c r="B185" s="18">
        <f t="shared" si="2"/>
        <v>5959</v>
      </c>
      <c r="C185" s="18">
        <f t="shared" si="3"/>
        <v>2951</v>
      </c>
      <c r="D185" s="18">
        <f t="shared" si="4"/>
        <v>8910</v>
      </c>
      <c r="E185" s="20">
        <f t="shared" si="5"/>
        <v>0.66879910213243543</v>
      </c>
      <c r="F185" s="20">
        <f t="shared" si="6"/>
        <v>0.33120089786756451</v>
      </c>
    </row>
    <row r="186" spans="1:6" x14ac:dyDescent="0.3">
      <c r="A186" s="17">
        <v>2023</v>
      </c>
      <c r="B186" s="18">
        <f t="shared" si="2"/>
        <v>2833</v>
      </c>
      <c r="C186" s="18">
        <f t="shared" si="3"/>
        <v>2881</v>
      </c>
      <c r="D186" s="18">
        <f t="shared" si="4"/>
        <v>5714</v>
      </c>
      <c r="E186" s="20">
        <f t="shared" si="5"/>
        <v>0.49579978998949947</v>
      </c>
      <c r="F186" s="20">
        <f t="shared" si="6"/>
        <v>0.50420021001050053</v>
      </c>
    </row>
    <row r="187" spans="1:6" x14ac:dyDescent="0.3">
      <c r="A187" s="17">
        <v>2024</v>
      </c>
      <c r="B187" s="18">
        <f t="shared" si="2"/>
        <v>2434</v>
      </c>
      <c r="C187" s="18">
        <f t="shared" si="3"/>
        <v>3676</v>
      </c>
      <c r="D187" s="18">
        <f t="shared" si="4"/>
        <v>6110</v>
      </c>
      <c r="E187" s="20">
        <f t="shared" si="5"/>
        <v>0.3983633387888707</v>
      </c>
      <c r="F187" s="20">
        <f t="shared" si="6"/>
        <v>0.60163666121112924</v>
      </c>
    </row>
    <row r="189" spans="1:6" ht="18" customHeight="1" x14ac:dyDescent="0.3">
      <c r="A189" s="10" t="s">
        <v>337</v>
      </c>
    </row>
    <row r="190" spans="1:6" ht="45" customHeight="1" x14ac:dyDescent="0.3">
      <c r="A190" s="11" t="s">
        <v>73</v>
      </c>
      <c r="B190" s="11" t="s">
        <v>282</v>
      </c>
      <c r="C190" s="11" t="s">
        <v>336</v>
      </c>
    </row>
    <row r="191" spans="1:6" x14ac:dyDescent="0.3">
      <c r="A191" s="17">
        <v>2000</v>
      </c>
      <c r="B191" s="18">
        <v>5015.0401199999997</v>
      </c>
      <c r="C191" s="21">
        <f t="shared" ref="C191:C215" si="7">S235/T235</f>
        <v>0.17909470572480085</v>
      </c>
    </row>
    <row r="192" spans="1:6" x14ac:dyDescent="0.3">
      <c r="A192" s="17">
        <v>2001</v>
      </c>
      <c r="B192" s="18">
        <v>5168.0968999999996</v>
      </c>
      <c r="C192" s="21">
        <f t="shared" si="7"/>
        <v>0.16792274019585721</v>
      </c>
    </row>
    <row r="193" spans="1:3" x14ac:dyDescent="0.3">
      <c r="A193" s="17">
        <v>2002</v>
      </c>
      <c r="B193" s="18">
        <v>5335.0426799999996</v>
      </c>
      <c r="C193" s="21">
        <f t="shared" si="7"/>
        <v>0.17626004919055835</v>
      </c>
    </row>
    <row r="194" spans="1:3" x14ac:dyDescent="0.3">
      <c r="A194" s="17">
        <v>2003</v>
      </c>
      <c r="B194" s="18">
        <v>5596.1558800000003</v>
      </c>
      <c r="C194" s="21">
        <f t="shared" si="7"/>
        <v>0.17749466969745029</v>
      </c>
    </row>
    <row r="195" spans="1:3" x14ac:dyDescent="0.3">
      <c r="A195" s="17">
        <v>2004</v>
      </c>
      <c r="B195" s="18">
        <v>5913.10286</v>
      </c>
      <c r="C195" s="21">
        <f t="shared" si="7"/>
        <v>0.18350545680246894</v>
      </c>
    </row>
    <row r="196" spans="1:3" x14ac:dyDescent="0.3">
      <c r="A196" s="17">
        <v>2005</v>
      </c>
      <c r="B196" s="18">
        <v>6040.0483199999999</v>
      </c>
      <c r="C196" s="21">
        <f t="shared" si="7"/>
        <v>0.18488223790494007</v>
      </c>
    </row>
    <row r="197" spans="1:3" x14ac:dyDescent="0.3">
      <c r="A197" s="17">
        <v>2006</v>
      </c>
      <c r="B197" s="18">
        <v>6490.0519199999999</v>
      </c>
      <c r="C197" s="21">
        <f t="shared" si="7"/>
        <v>0.19722780300855969</v>
      </c>
    </row>
    <row r="198" spans="1:3" x14ac:dyDescent="0.3">
      <c r="A198" s="17">
        <v>2007</v>
      </c>
      <c r="B198" s="18">
        <v>6795.0543600000001</v>
      </c>
      <c r="C198" s="21">
        <f t="shared" si="7"/>
        <v>0.19323495955510617</v>
      </c>
    </row>
    <row r="199" spans="1:3" x14ac:dyDescent="0.3">
      <c r="A199" s="17">
        <v>2008</v>
      </c>
      <c r="B199" s="18">
        <v>7003.9449199999999</v>
      </c>
      <c r="C199" s="21">
        <f t="shared" si="7"/>
        <v>0.20061104657638879</v>
      </c>
    </row>
    <row r="200" spans="1:3" x14ac:dyDescent="0.3">
      <c r="A200" s="17">
        <v>2009</v>
      </c>
      <c r="B200" s="18">
        <v>6650.0532000000003</v>
      </c>
      <c r="C200" s="21">
        <f t="shared" si="7"/>
        <v>0.20986929193221762</v>
      </c>
    </row>
    <row r="201" spans="1:3" x14ac:dyDescent="0.3">
      <c r="A201" s="17">
        <v>2010</v>
      </c>
      <c r="B201" s="18">
        <v>6908.1108199999999</v>
      </c>
      <c r="C201" s="21">
        <f t="shared" si="7"/>
        <v>0.20635434299180189</v>
      </c>
    </row>
    <row r="202" spans="1:3" x14ac:dyDescent="0.3">
      <c r="A202" s="17">
        <v>2011</v>
      </c>
      <c r="B202" s="18">
        <v>6626.9974599999996</v>
      </c>
      <c r="C202" s="21">
        <f t="shared" si="7"/>
        <v>0.20484617432145832</v>
      </c>
    </row>
    <row r="203" spans="1:3" x14ac:dyDescent="0.3">
      <c r="A203" s="17">
        <v>2012</v>
      </c>
      <c r="B203" s="18">
        <v>6978.1113800000003</v>
      </c>
      <c r="C203" s="21">
        <f t="shared" si="7"/>
        <v>0.21222438117766326</v>
      </c>
    </row>
    <row r="204" spans="1:3" x14ac:dyDescent="0.3">
      <c r="A204" s="17">
        <v>2013</v>
      </c>
      <c r="B204" s="18">
        <v>6820.0545599999996</v>
      </c>
      <c r="C204" s="21">
        <f t="shared" si="7"/>
        <v>0.20645812310797174</v>
      </c>
    </row>
    <row r="205" spans="1:3" x14ac:dyDescent="0.3">
      <c r="A205" s="17">
        <v>2014</v>
      </c>
      <c r="B205" s="18">
        <v>6906.1663600000002</v>
      </c>
      <c r="C205" s="21">
        <f t="shared" si="7"/>
        <v>0.21403973966045667</v>
      </c>
    </row>
    <row r="206" spans="1:3" x14ac:dyDescent="0.3">
      <c r="A206" s="17">
        <v>2015</v>
      </c>
      <c r="B206" s="18">
        <v>6851.9992599999996</v>
      </c>
      <c r="C206" s="21">
        <f t="shared" si="7"/>
        <v>0.21421623968736428</v>
      </c>
    </row>
    <row r="207" spans="1:3" x14ac:dyDescent="0.3">
      <c r="A207" s="17">
        <v>2016</v>
      </c>
      <c r="B207" s="18">
        <v>7298.9472800000003</v>
      </c>
      <c r="C207" s="21">
        <f t="shared" si="7"/>
        <v>0.2245543268326867</v>
      </c>
    </row>
    <row r="208" spans="1:3" x14ac:dyDescent="0.3">
      <c r="A208" s="17">
        <v>2017</v>
      </c>
      <c r="B208" s="18">
        <v>7232.5578599999999</v>
      </c>
      <c r="C208" s="21">
        <f t="shared" si="7"/>
        <v>0.22098401840048207</v>
      </c>
    </row>
    <row r="209" spans="1:26" x14ac:dyDescent="0.3">
      <c r="A209" s="17">
        <v>2018</v>
      </c>
      <c r="B209" s="18">
        <v>7491.1710400000002</v>
      </c>
      <c r="C209" s="21">
        <f t="shared" si="7"/>
        <v>0.22300688833943885</v>
      </c>
    </row>
    <row r="210" spans="1:26" x14ac:dyDescent="0.3">
      <c r="A210" s="17">
        <v>2019</v>
      </c>
      <c r="B210" s="18">
        <v>7317.0029800000002</v>
      </c>
      <c r="C210" s="21">
        <f t="shared" si="7"/>
        <v>0.22263261097400186</v>
      </c>
    </row>
    <row r="211" spans="1:26" x14ac:dyDescent="0.3">
      <c r="A211" s="17">
        <v>2020</v>
      </c>
      <c r="B211" s="18">
        <v>7180.0574399999996</v>
      </c>
      <c r="C211" s="21">
        <f t="shared" si="7"/>
        <v>0.22647063977430038</v>
      </c>
    </row>
    <row r="212" spans="1:26" x14ac:dyDescent="0.3">
      <c r="A212" s="17">
        <v>2021</v>
      </c>
      <c r="B212" s="18">
        <v>7883.67418</v>
      </c>
      <c r="C212" s="21">
        <f t="shared" si="7"/>
        <v>0.24291314320928484</v>
      </c>
    </row>
    <row r="213" spans="1:26" x14ac:dyDescent="0.3">
      <c r="A213" s="17">
        <v>2022</v>
      </c>
      <c r="B213" s="18">
        <v>7141.7237999999998</v>
      </c>
      <c r="C213" s="21">
        <f t="shared" si="7"/>
        <v>0.22570054076831236</v>
      </c>
    </row>
    <row r="214" spans="1:26" x14ac:dyDescent="0.3">
      <c r="A214" s="17">
        <v>2023</v>
      </c>
      <c r="B214" s="18">
        <v>6001.71468</v>
      </c>
      <c r="C214" s="21">
        <f t="shared" si="7"/>
        <v>0.20116194625998549</v>
      </c>
    </row>
    <row r="215" spans="1:26" x14ac:dyDescent="0.3">
      <c r="A215" s="17">
        <v>2024</v>
      </c>
      <c r="B215" s="18">
        <v>6620.05296</v>
      </c>
      <c r="C215" s="21">
        <f t="shared" si="7"/>
        <v>0.18654747833710361</v>
      </c>
    </row>
    <row r="217" spans="1:26" x14ac:dyDescent="0.3">
      <c r="A217" s="78" t="s">
        <v>335</v>
      </c>
      <c r="B217" s="78"/>
      <c r="C217" s="78"/>
      <c r="D217" s="78"/>
    </row>
    <row r="218" spans="1:26" ht="18" customHeight="1" x14ac:dyDescent="0.3">
      <c r="A218" s="10" t="s">
        <v>202</v>
      </c>
    </row>
    <row r="219" spans="1:26" ht="19" customHeight="1" x14ac:dyDescent="0.3">
      <c r="A219" s="22" t="s">
        <v>203</v>
      </c>
      <c r="B219" s="11">
        <v>2000</v>
      </c>
      <c r="C219" s="11">
        <v>2001</v>
      </c>
      <c r="D219" s="11">
        <v>2002</v>
      </c>
      <c r="E219" s="11">
        <v>2003</v>
      </c>
      <c r="F219" s="11">
        <v>2004</v>
      </c>
      <c r="G219" s="11">
        <v>2005</v>
      </c>
      <c r="H219" s="11">
        <v>2006</v>
      </c>
      <c r="I219" s="11">
        <v>2007</v>
      </c>
      <c r="J219" s="11">
        <v>2008</v>
      </c>
      <c r="K219" s="11">
        <v>2009</v>
      </c>
      <c r="L219" s="11">
        <v>2010</v>
      </c>
      <c r="M219" s="11">
        <v>2011</v>
      </c>
      <c r="N219" s="11">
        <v>2012</v>
      </c>
      <c r="O219" s="11">
        <v>2013</v>
      </c>
      <c r="P219" s="11">
        <v>2014</v>
      </c>
      <c r="Q219" s="11">
        <v>2015</v>
      </c>
      <c r="R219" s="11">
        <v>2016</v>
      </c>
      <c r="S219" s="11">
        <v>2017</v>
      </c>
      <c r="T219" s="11">
        <v>2018</v>
      </c>
      <c r="U219" s="11">
        <v>2019</v>
      </c>
      <c r="V219" s="11">
        <v>2020</v>
      </c>
      <c r="W219" s="11">
        <v>2021</v>
      </c>
      <c r="X219" s="11">
        <v>2022</v>
      </c>
      <c r="Y219" s="11">
        <v>2023</v>
      </c>
      <c r="Z219" s="11">
        <v>2024</v>
      </c>
    </row>
    <row r="220" spans="1:26" x14ac:dyDescent="0.3">
      <c r="A220" s="23" t="s">
        <v>204</v>
      </c>
      <c r="B220" s="13">
        <v>6747</v>
      </c>
      <c r="C220" s="13">
        <v>7485</v>
      </c>
      <c r="D220" s="13">
        <v>6803</v>
      </c>
      <c r="E220" s="13">
        <v>7730</v>
      </c>
      <c r="F220" s="13">
        <v>7937</v>
      </c>
      <c r="G220" s="13">
        <v>8268</v>
      </c>
      <c r="H220" s="13">
        <v>7968</v>
      </c>
      <c r="I220" s="13">
        <v>8790</v>
      </c>
      <c r="J220" s="13">
        <v>8518</v>
      </c>
      <c r="K220" s="13">
        <v>6167</v>
      </c>
      <c r="L220" s="13">
        <v>6723</v>
      </c>
      <c r="M220" s="13">
        <v>6822</v>
      </c>
      <c r="N220" s="13">
        <v>6570</v>
      </c>
      <c r="O220" s="13">
        <v>7446</v>
      </c>
      <c r="P220" s="13">
        <v>6470</v>
      </c>
      <c r="Q220" s="18">
        <v>6222.4350000000004</v>
      </c>
      <c r="R220" s="18">
        <v>5323.7160000000003</v>
      </c>
      <c r="S220" s="18">
        <v>5383.8329999999996</v>
      </c>
      <c r="T220" s="18">
        <v>5651.2610000000004</v>
      </c>
      <c r="U220" s="18">
        <v>5341.7430000000004</v>
      </c>
      <c r="V220" s="18">
        <v>4745.473</v>
      </c>
      <c r="W220" s="18">
        <v>4461.085</v>
      </c>
      <c r="X220" s="18">
        <v>4168.1869999999999</v>
      </c>
      <c r="Y220" s="18">
        <v>3921.2379999999998</v>
      </c>
      <c r="Z220" s="18">
        <v>5745.51</v>
      </c>
    </row>
    <row r="221" spans="1:26" x14ac:dyDescent="0.3">
      <c r="A221" s="23" t="s">
        <v>205</v>
      </c>
      <c r="B221" s="21">
        <v>0.27167630057803466</v>
      </c>
      <c r="C221" s="21">
        <v>0.2426185704742819</v>
      </c>
      <c r="D221" s="21">
        <v>0.27693664559753051</v>
      </c>
      <c r="E221" s="21">
        <v>0.2627425614489004</v>
      </c>
      <c r="F221" s="21">
        <v>0.27012725211036914</v>
      </c>
      <c r="G221" s="21">
        <v>0.26221577164973392</v>
      </c>
      <c r="H221" s="21">
        <v>0.29354919678714858</v>
      </c>
      <c r="I221" s="21">
        <v>0.27212741751990899</v>
      </c>
      <c r="J221" s="21">
        <v>0.27412538154496363</v>
      </c>
      <c r="K221" s="21">
        <v>0.31473974379763259</v>
      </c>
      <c r="L221" s="21">
        <v>0.31161683772125537</v>
      </c>
      <c r="M221" s="21">
        <v>0.29991204925241866</v>
      </c>
      <c r="N221" s="21">
        <v>0.33287671232876714</v>
      </c>
      <c r="O221" s="21">
        <v>0.28955143701316144</v>
      </c>
      <c r="P221" s="21">
        <v>0.32720247295208699</v>
      </c>
      <c r="Q221" s="21">
        <v>0.33089939870806201</v>
      </c>
      <c r="R221" s="21">
        <v>0.40422892581046771</v>
      </c>
      <c r="S221" s="21">
        <v>0.42367584581468259</v>
      </c>
      <c r="T221" s="21">
        <v>0.41760591131784569</v>
      </c>
      <c r="U221" s="21">
        <v>0.39910942926307008</v>
      </c>
      <c r="V221" s="21">
        <v>0.44864231658256193</v>
      </c>
      <c r="W221" s="21">
        <v>0.49531672227720386</v>
      </c>
      <c r="X221" s="21">
        <v>0.50107156900590111</v>
      </c>
      <c r="Y221" s="21">
        <v>0.45478468789703663</v>
      </c>
      <c r="Z221" s="21">
        <v>0.31282027182965477</v>
      </c>
    </row>
    <row r="223" spans="1:26" ht="18" customHeight="1" x14ac:dyDescent="0.3">
      <c r="A223" s="10" t="s">
        <v>207</v>
      </c>
    </row>
    <row r="224" spans="1:26" ht="19" customHeight="1" x14ac:dyDescent="0.3">
      <c r="A224" s="22" t="s">
        <v>208</v>
      </c>
      <c r="B224" s="11">
        <v>2000</v>
      </c>
      <c r="C224" s="11">
        <v>2001</v>
      </c>
      <c r="D224" s="11">
        <v>2002</v>
      </c>
      <c r="E224" s="11">
        <v>2003</v>
      </c>
      <c r="F224" s="11">
        <v>2004</v>
      </c>
      <c r="G224" s="11">
        <v>2005</v>
      </c>
      <c r="H224" s="11">
        <v>2006</v>
      </c>
      <c r="I224" s="11">
        <v>2007</v>
      </c>
      <c r="J224" s="11">
        <v>2008</v>
      </c>
      <c r="K224" s="11">
        <v>2009</v>
      </c>
      <c r="L224" s="11">
        <v>2010</v>
      </c>
      <c r="M224" s="11">
        <v>2011</v>
      </c>
      <c r="N224" s="11">
        <v>2012</v>
      </c>
      <c r="O224" s="11">
        <v>2013</v>
      </c>
      <c r="P224" s="11">
        <v>2014</v>
      </c>
      <c r="Q224" s="11">
        <v>2015</v>
      </c>
      <c r="R224" s="11">
        <v>2016</v>
      </c>
      <c r="S224" s="11">
        <v>2017</v>
      </c>
      <c r="T224" s="11">
        <v>2018</v>
      </c>
      <c r="U224" s="11">
        <v>2019</v>
      </c>
      <c r="V224" s="11">
        <v>2020</v>
      </c>
      <c r="W224" s="11">
        <v>2021</v>
      </c>
      <c r="X224" s="11">
        <v>2022</v>
      </c>
      <c r="Y224" s="11">
        <v>2023</v>
      </c>
      <c r="Z224" s="11">
        <v>2024</v>
      </c>
    </row>
    <row r="225" spans="1:26" x14ac:dyDescent="0.3">
      <c r="A225" s="23" t="s">
        <v>204</v>
      </c>
      <c r="B225" s="13">
        <v>7732</v>
      </c>
      <c r="C225" s="13">
        <v>7875</v>
      </c>
      <c r="D225" s="13">
        <v>7843</v>
      </c>
      <c r="E225" s="13">
        <v>8131</v>
      </c>
      <c r="F225" s="13">
        <v>8303</v>
      </c>
      <c r="G225" s="13">
        <v>9269</v>
      </c>
      <c r="H225" s="13">
        <v>9391</v>
      </c>
      <c r="I225" s="13">
        <v>9518</v>
      </c>
      <c r="J225" s="13">
        <v>8387</v>
      </c>
      <c r="K225" s="13">
        <v>8843</v>
      </c>
      <c r="L225" s="13">
        <v>8746</v>
      </c>
      <c r="M225" s="13">
        <v>8767</v>
      </c>
      <c r="N225" s="13">
        <v>8684</v>
      </c>
      <c r="O225" s="13">
        <v>9080</v>
      </c>
      <c r="P225" s="13">
        <v>8870</v>
      </c>
      <c r="Q225" s="18">
        <v>8838.848</v>
      </c>
      <c r="R225" s="18">
        <v>9035.2929999999997</v>
      </c>
      <c r="S225" s="18">
        <v>9348.9189999999999</v>
      </c>
      <c r="T225" s="18">
        <v>9708.6759999999995</v>
      </c>
      <c r="U225" s="18">
        <v>9767.3469999999998</v>
      </c>
      <c r="V225" s="18">
        <v>9253.1550000000007</v>
      </c>
      <c r="W225" s="18">
        <v>9772.0959999999995</v>
      </c>
      <c r="X225" s="18">
        <v>9836.0310000000009</v>
      </c>
      <c r="Y225" s="18">
        <v>9836.5570000000007</v>
      </c>
      <c r="Z225" s="18">
        <v>11560.096</v>
      </c>
    </row>
    <row r="226" spans="1:26" x14ac:dyDescent="0.3">
      <c r="A226" s="23" t="s">
        <v>212</v>
      </c>
      <c r="B226" s="20">
        <v>1.1769270563890325E-2</v>
      </c>
      <c r="C226" s="20">
        <v>1.0793650793650795E-2</v>
      </c>
      <c r="D226" s="20">
        <v>1.2367716435037613E-2</v>
      </c>
      <c r="E226" s="20">
        <v>1.2052638051900134E-2</v>
      </c>
      <c r="F226" s="20">
        <v>9.5146332650849087E-3</v>
      </c>
      <c r="G226" s="20">
        <v>9.4940122990613881E-3</v>
      </c>
      <c r="H226" s="20">
        <v>8.8382493877116382E-3</v>
      </c>
      <c r="I226" s="20">
        <v>8.0899348602647622E-3</v>
      </c>
      <c r="J226" s="20">
        <v>9.5385715989030635E-3</v>
      </c>
      <c r="K226" s="20">
        <v>6.5588601153454707E-3</v>
      </c>
      <c r="L226" s="20">
        <v>1.0176080493940087E-2</v>
      </c>
      <c r="M226" s="20">
        <v>9.0110642180905674E-3</v>
      </c>
      <c r="N226" s="20">
        <v>9.0971902349147853E-3</v>
      </c>
      <c r="O226" s="20">
        <v>6.3876651982378851E-3</v>
      </c>
      <c r="P226" s="20">
        <v>5.6369785794813977E-3</v>
      </c>
      <c r="Q226" s="20">
        <v>5.3174350322575973E-3</v>
      </c>
      <c r="R226" s="20">
        <v>5.3125006571452639E-3</v>
      </c>
      <c r="S226" s="20">
        <v>4.9203549629641677E-3</v>
      </c>
      <c r="T226" s="20">
        <v>4.4290282217678296E-3</v>
      </c>
      <c r="U226" s="20">
        <v>5.7333890154614145E-3</v>
      </c>
      <c r="V226" s="20">
        <v>7.3358762497764268E-3</v>
      </c>
      <c r="W226" s="20">
        <v>3.0633141549162024E-3</v>
      </c>
      <c r="X226" s="20">
        <v>3.2992982637000631E-3</v>
      </c>
      <c r="Y226" s="20">
        <v>6.0617754769275471E-3</v>
      </c>
      <c r="Z226" s="20">
        <v>5.7253849795019015E-3</v>
      </c>
    </row>
    <row r="228" spans="1:26" ht="18" customHeight="1" x14ac:dyDescent="0.3">
      <c r="A228" s="10" t="s">
        <v>209</v>
      </c>
    </row>
    <row r="229" spans="1:26" ht="19" customHeight="1" x14ac:dyDescent="0.3">
      <c r="A229" s="22" t="s">
        <v>134</v>
      </c>
      <c r="B229" s="11">
        <v>2000</v>
      </c>
      <c r="C229" s="11">
        <v>2001</v>
      </c>
      <c r="D229" s="11">
        <v>2002</v>
      </c>
      <c r="E229" s="11">
        <v>2003</v>
      </c>
      <c r="F229" s="11">
        <v>2004</v>
      </c>
      <c r="G229" s="11">
        <v>2005</v>
      </c>
      <c r="H229" s="11">
        <v>2006</v>
      </c>
      <c r="I229" s="11">
        <v>2007</v>
      </c>
      <c r="J229" s="11">
        <v>2008</v>
      </c>
      <c r="K229" s="11">
        <v>2009</v>
      </c>
      <c r="L229" s="11">
        <v>2010</v>
      </c>
      <c r="M229" s="11">
        <v>2011</v>
      </c>
      <c r="N229" s="11">
        <v>2012</v>
      </c>
      <c r="O229" s="11">
        <v>2013</v>
      </c>
      <c r="P229" s="11">
        <v>2014</v>
      </c>
      <c r="Q229" s="11">
        <v>2015</v>
      </c>
      <c r="R229" s="11">
        <v>2016</v>
      </c>
      <c r="S229" s="11">
        <v>2017</v>
      </c>
      <c r="T229" s="11">
        <v>2018</v>
      </c>
      <c r="U229" s="11">
        <v>2019</v>
      </c>
      <c r="V229" s="11">
        <v>2020</v>
      </c>
      <c r="W229" s="11">
        <v>2021</v>
      </c>
      <c r="X229" s="11">
        <v>2022</v>
      </c>
      <c r="Y229" s="11">
        <v>2023</v>
      </c>
    </row>
    <row r="230" spans="1:26" x14ac:dyDescent="0.3">
      <c r="A230" s="23" t="s">
        <v>204</v>
      </c>
      <c r="B230" s="13">
        <v>14133</v>
      </c>
      <c r="C230" s="13">
        <v>14462</v>
      </c>
      <c r="D230" s="13">
        <v>14135</v>
      </c>
      <c r="E230" s="13">
        <v>14689</v>
      </c>
      <c r="F230" s="13">
        <v>15152</v>
      </c>
      <c r="G230" s="13">
        <v>14866</v>
      </c>
      <c r="H230" s="13">
        <v>14869</v>
      </c>
      <c r="I230" s="13">
        <v>15950</v>
      </c>
      <c r="J230" s="13">
        <v>16111</v>
      </c>
      <c r="K230" s="13">
        <v>16153</v>
      </c>
      <c r="L230" s="13">
        <v>16879</v>
      </c>
      <c r="M230" s="13">
        <v>15558</v>
      </c>
      <c r="N230" s="13">
        <v>16220</v>
      </c>
      <c r="O230" s="13">
        <v>15720</v>
      </c>
      <c r="P230" s="13">
        <v>15653</v>
      </c>
      <c r="Q230" s="13">
        <v>15387</v>
      </c>
      <c r="R230" s="13">
        <v>16619</v>
      </c>
      <c r="S230" s="13">
        <v>16415</v>
      </c>
      <c r="T230" s="13">
        <v>16649</v>
      </c>
      <c r="U230" s="13">
        <v>16441</v>
      </c>
      <c r="V230" s="13">
        <v>16423</v>
      </c>
      <c r="W230" s="13">
        <v>17179</v>
      </c>
      <c r="X230" s="13">
        <v>16514</v>
      </c>
      <c r="Y230" s="13">
        <v>15085</v>
      </c>
    </row>
    <row r="231" spans="1:26" x14ac:dyDescent="0.3">
      <c r="A231" s="23" t="s">
        <v>205</v>
      </c>
      <c r="B231" s="21">
        <v>0.20285855798485813</v>
      </c>
      <c r="C231" s="21">
        <v>0.21186557875812473</v>
      </c>
      <c r="D231" s="21">
        <v>0.22313406437920055</v>
      </c>
      <c r="E231" s="21">
        <v>0.22179862482129484</v>
      </c>
      <c r="F231" s="21">
        <v>0.22888067581837382</v>
      </c>
      <c r="G231" s="21">
        <v>0.23873267859545272</v>
      </c>
      <c r="H231" s="21">
        <v>0.25899522496469163</v>
      </c>
      <c r="I231" s="21">
        <v>0.25899686520376175</v>
      </c>
      <c r="J231" s="21">
        <v>0.27298119297374462</v>
      </c>
      <c r="K231" s="21">
        <v>0.27505726490435212</v>
      </c>
      <c r="L231" s="21">
        <v>0.26861780911191419</v>
      </c>
      <c r="M231" s="21">
        <v>0.27715644684406737</v>
      </c>
      <c r="N231" s="21">
        <v>0.27694204685573365</v>
      </c>
      <c r="O231" s="21">
        <v>0.27958015267175573</v>
      </c>
      <c r="P231" s="21">
        <v>0.28965693477288701</v>
      </c>
      <c r="Q231" s="21">
        <v>0.29511925651524012</v>
      </c>
      <c r="R231" s="21">
        <v>0.29388049822492329</v>
      </c>
      <c r="S231" s="21">
        <v>0.28358208955223879</v>
      </c>
      <c r="T231" s="21">
        <v>0.28788515826776384</v>
      </c>
      <c r="U231" s="21">
        <v>0.30357034243659142</v>
      </c>
      <c r="V231" s="21">
        <v>0.29495220118127019</v>
      </c>
      <c r="W231" s="21">
        <v>0.31928517375865884</v>
      </c>
      <c r="X231" s="21">
        <v>0.29508295991280126</v>
      </c>
      <c r="Y231" s="24">
        <v>0.26602585349685115</v>
      </c>
    </row>
    <row r="233" spans="1:26" ht="18" customHeight="1" x14ac:dyDescent="0.3">
      <c r="A233" s="10" t="s">
        <v>334</v>
      </c>
    </row>
    <row r="234" spans="1:26" ht="45" customHeight="1" x14ac:dyDescent="0.3">
      <c r="A234" s="11" t="s">
        <v>73</v>
      </c>
      <c r="B234" s="11" t="s">
        <v>331</v>
      </c>
      <c r="C234" s="11" t="s">
        <v>260</v>
      </c>
      <c r="D234" s="11" t="s">
        <v>328</v>
      </c>
      <c r="E234" s="11" t="s">
        <v>333</v>
      </c>
      <c r="F234" s="11" t="s">
        <v>325</v>
      </c>
      <c r="G234" s="11" t="s">
        <v>282</v>
      </c>
      <c r="H234" s="11" t="s">
        <v>332</v>
      </c>
      <c r="K234" s="11" t="s">
        <v>73</v>
      </c>
      <c r="L234" s="11" t="s">
        <v>331</v>
      </c>
      <c r="M234" s="11" t="s">
        <v>330</v>
      </c>
      <c r="N234" s="11" t="s">
        <v>329</v>
      </c>
      <c r="O234" s="11" t="s">
        <v>328</v>
      </c>
      <c r="P234" s="11" t="s">
        <v>327</v>
      </c>
      <c r="Q234" s="11" t="s">
        <v>326</v>
      </c>
      <c r="R234" s="11" t="s">
        <v>325</v>
      </c>
      <c r="S234" s="11" t="s">
        <v>282</v>
      </c>
      <c r="T234" s="11" t="s">
        <v>241</v>
      </c>
    </row>
    <row r="235" spans="1:26" ht="14.5" x14ac:dyDescent="0.3">
      <c r="A235" s="17">
        <v>2000</v>
      </c>
      <c r="B235" s="18">
        <f t="shared" ref="B235:B259" si="8">L235</f>
        <v>743.06150000000002</v>
      </c>
      <c r="C235" s="18">
        <f t="shared" ref="C235:C259" si="9">M235+N235</f>
        <v>9293.1298999999999</v>
      </c>
      <c r="D235" s="18">
        <f t="shared" ref="D235:D259" si="10">O235</f>
        <v>2061.4053800000002</v>
      </c>
      <c r="E235" s="18">
        <f t="shared" ref="E235:E259" si="11">P235+Q235</f>
        <v>4941.1506399999998</v>
      </c>
      <c r="F235" s="18">
        <f t="shared" ref="F235:F259" si="12">R235</f>
        <v>5948.3809199999996</v>
      </c>
      <c r="G235" s="18">
        <f t="shared" ref="G235:G259" si="13">S235</f>
        <v>5015.0401199999997</v>
      </c>
      <c r="H235" s="21">
        <f t="shared" ref="H235:H259" si="14">G235/SUM(B235:G235)</f>
        <v>0.17909470572480085</v>
      </c>
      <c r="K235" s="17">
        <v>2000</v>
      </c>
      <c r="L235" s="18">
        <v>743.06150000000002</v>
      </c>
      <c r="M235" s="18">
        <v>701.39449999999999</v>
      </c>
      <c r="N235" s="18">
        <v>8591.7353999999996</v>
      </c>
      <c r="O235" s="18">
        <v>2061.4053800000002</v>
      </c>
      <c r="P235" s="18">
        <v>4941.1506399999998</v>
      </c>
      <c r="Q235" s="18">
        <v>0</v>
      </c>
      <c r="R235" s="18">
        <v>5948.3809199999996</v>
      </c>
      <c r="S235" s="18">
        <v>5015.0401199999997</v>
      </c>
      <c r="T235" s="18">
        <f t="shared" ref="T235:T259" si="15">SUM(L235:S235)</f>
        <v>28002.168460000001</v>
      </c>
      <c r="V235" s="23" t="s">
        <v>324</v>
      </c>
    </row>
    <row r="236" spans="1:26" x14ac:dyDescent="0.3">
      <c r="A236" s="17">
        <v>2001</v>
      </c>
      <c r="B236" s="18">
        <f t="shared" si="8"/>
        <v>1004.73026</v>
      </c>
      <c r="C236" s="18">
        <f t="shared" si="9"/>
        <v>11199.53404</v>
      </c>
      <c r="D236" s="18">
        <f t="shared" si="10"/>
        <v>2496.40886</v>
      </c>
      <c r="E236" s="18">
        <f t="shared" si="11"/>
        <v>5070.0405600000004</v>
      </c>
      <c r="F236" s="18">
        <f t="shared" si="12"/>
        <v>5837.8244800000002</v>
      </c>
      <c r="G236" s="18">
        <f t="shared" si="13"/>
        <v>5168.0968999999996</v>
      </c>
      <c r="H236" s="21">
        <f t="shared" si="14"/>
        <v>0.16792274019585721</v>
      </c>
      <c r="K236" s="17">
        <v>2001</v>
      </c>
      <c r="L236" s="18">
        <v>1004.73026</v>
      </c>
      <c r="M236" s="18">
        <v>686.67215999999996</v>
      </c>
      <c r="N236" s="18">
        <v>10512.86188</v>
      </c>
      <c r="O236" s="18">
        <v>2496.40886</v>
      </c>
      <c r="P236" s="18">
        <v>5070.0405600000004</v>
      </c>
      <c r="Q236" s="18">
        <v>0</v>
      </c>
      <c r="R236" s="18">
        <v>5837.8244800000002</v>
      </c>
      <c r="S236" s="18">
        <v>5168.0968999999996</v>
      </c>
      <c r="T236" s="18">
        <f t="shared" si="15"/>
        <v>30776.6351</v>
      </c>
      <c r="V236" s="23" t="s">
        <v>323</v>
      </c>
    </row>
    <row r="237" spans="1:26" ht="14.5" x14ac:dyDescent="0.3">
      <c r="A237" s="17">
        <v>2002</v>
      </c>
      <c r="B237" s="18">
        <f t="shared" si="8"/>
        <v>541.11544000000004</v>
      </c>
      <c r="C237" s="18">
        <f t="shared" si="9"/>
        <v>11163.700420000001</v>
      </c>
      <c r="D237" s="18">
        <f t="shared" si="10"/>
        <v>2113.3502400000002</v>
      </c>
      <c r="E237" s="18">
        <f t="shared" si="11"/>
        <v>5135.3188600000003</v>
      </c>
      <c r="F237" s="18">
        <f t="shared" si="12"/>
        <v>5979.4922800000004</v>
      </c>
      <c r="G237" s="18">
        <f t="shared" si="13"/>
        <v>5335.0426799999996</v>
      </c>
      <c r="H237" s="21">
        <f t="shared" si="14"/>
        <v>0.17626004919055835</v>
      </c>
      <c r="K237" s="17">
        <v>2002</v>
      </c>
      <c r="L237" s="18">
        <v>541.11544000000004</v>
      </c>
      <c r="M237" s="18">
        <v>588.33803999999998</v>
      </c>
      <c r="N237" s="18">
        <v>10575.36238</v>
      </c>
      <c r="O237" s="18">
        <v>2113.3502400000002</v>
      </c>
      <c r="P237" s="18">
        <v>5135.3188600000003</v>
      </c>
      <c r="Q237" s="18">
        <v>0</v>
      </c>
      <c r="R237" s="18">
        <v>5979.4922800000004</v>
      </c>
      <c r="S237" s="18">
        <v>5335.0426799999996</v>
      </c>
      <c r="T237" s="18">
        <f t="shared" si="15"/>
        <v>30268.019919999999</v>
      </c>
      <c r="V237" s="23" t="s">
        <v>322</v>
      </c>
    </row>
    <row r="238" spans="1:26" ht="14.5" x14ac:dyDescent="0.3">
      <c r="A238" s="17">
        <v>2003</v>
      </c>
      <c r="B238" s="18">
        <f t="shared" si="8"/>
        <v>454.72586000000001</v>
      </c>
      <c r="C238" s="18">
        <f t="shared" si="9"/>
        <v>10971.47666</v>
      </c>
      <c r="D238" s="18">
        <f t="shared" si="10"/>
        <v>3217.52574</v>
      </c>
      <c r="E238" s="18">
        <f t="shared" si="11"/>
        <v>5593.9336400000002</v>
      </c>
      <c r="F238" s="18">
        <f t="shared" si="12"/>
        <v>5694.7677800000001</v>
      </c>
      <c r="G238" s="18">
        <f t="shared" si="13"/>
        <v>5596.1558800000003</v>
      </c>
      <c r="H238" s="21">
        <f t="shared" si="14"/>
        <v>0.17749466969745029</v>
      </c>
      <c r="K238" s="17">
        <v>2003</v>
      </c>
      <c r="L238" s="18">
        <v>454.72586000000001</v>
      </c>
      <c r="M238" s="18">
        <v>508.61518000000001</v>
      </c>
      <c r="N238" s="18">
        <v>10462.86148</v>
      </c>
      <c r="O238" s="18">
        <v>3217.52574</v>
      </c>
      <c r="P238" s="18">
        <v>5593.9336400000002</v>
      </c>
      <c r="Q238" s="18">
        <v>0</v>
      </c>
      <c r="R238" s="18">
        <v>5694.7677800000001</v>
      </c>
      <c r="S238" s="18">
        <v>5596.1558800000003</v>
      </c>
      <c r="T238" s="18">
        <f t="shared" si="15"/>
        <v>31528.58556</v>
      </c>
      <c r="V238" s="23" t="s">
        <v>321</v>
      </c>
    </row>
    <row r="239" spans="1:26" ht="14.5" x14ac:dyDescent="0.3">
      <c r="A239" s="17">
        <v>2004</v>
      </c>
      <c r="B239" s="18">
        <f t="shared" si="8"/>
        <v>548.05993999999998</v>
      </c>
      <c r="C239" s="18">
        <f t="shared" si="9"/>
        <v>10985.64344</v>
      </c>
      <c r="D239" s="18">
        <f t="shared" si="10"/>
        <v>3076.4135000000001</v>
      </c>
      <c r="E239" s="18">
        <f t="shared" si="11"/>
        <v>5633.6561799999999</v>
      </c>
      <c r="F239" s="18">
        <f t="shared" si="12"/>
        <v>6066.1596399999999</v>
      </c>
      <c r="G239" s="18">
        <f t="shared" si="13"/>
        <v>5913.10286</v>
      </c>
      <c r="H239" s="21">
        <f t="shared" si="14"/>
        <v>0.18350545680246894</v>
      </c>
      <c r="K239" s="17">
        <v>2004</v>
      </c>
      <c r="L239" s="18">
        <v>548.05993999999998</v>
      </c>
      <c r="M239" s="18">
        <v>546.94881999999996</v>
      </c>
      <c r="N239" s="18">
        <v>10438.69462</v>
      </c>
      <c r="O239" s="18">
        <v>3076.4135000000001</v>
      </c>
      <c r="P239" s="18">
        <v>5633.6561799999999</v>
      </c>
      <c r="Q239" s="18">
        <v>0</v>
      </c>
      <c r="R239" s="18">
        <v>6066.1596399999999</v>
      </c>
      <c r="S239" s="18">
        <v>5913.10286</v>
      </c>
      <c r="T239" s="18">
        <f t="shared" si="15"/>
        <v>32223.035559999997</v>
      </c>
      <c r="V239" s="23" t="s">
        <v>320</v>
      </c>
    </row>
    <row r="240" spans="1:26" ht="14.5" x14ac:dyDescent="0.3">
      <c r="A240" s="17">
        <v>2005</v>
      </c>
      <c r="B240" s="18">
        <f t="shared" si="8"/>
        <v>496.39285999999998</v>
      </c>
      <c r="C240" s="18">
        <f t="shared" si="9"/>
        <v>11501.203119999998</v>
      </c>
      <c r="D240" s="18">
        <f t="shared" si="10"/>
        <v>3061.6911599999999</v>
      </c>
      <c r="E240" s="18">
        <f t="shared" si="11"/>
        <v>5203.9305199999999</v>
      </c>
      <c r="F240" s="18">
        <f t="shared" si="12"/>
        <v>6366.4398199999996</v>
      </c>
      <c r="G240" s="18">
        <f t="shared" si="13"/>
        <v>6040.0483199999999</v>
      </c>
      <c r="H240" s="21">
        <f t="shared" si="14"/>
        <v>0.18488223790494007</v>
      </c>
      <c r="K240" s="17">
        <v>2005</v>
      </c>
      <c r="L240" s="18">
        <v>496.39285999999998</v>
      </c>
      <c r="M240" s="18">
        <v>781.67291999999998</v>
      </c>
      <c r="N240" s="18">
        <v>10719.530199999999</v>
      </c>
      <c r="O240" s="18">
        <v>3061.6911599999999</v>
      </c>
      <c r="P240" s="18">
        <v>5203.9305199999999</v>
      </c>
      <c r="Q240" s="18">
        <v>0</v>
      </c>
      <c r="R240" s="18">
        <v>6366.4398199999996</v>
      </c>
      <c r="S240" s="18">
        <v>6040.0483199999999</v>
      </c>
      <c r="T240" s="18">
        <f t="shared" si="15"/>
        <v>32669.705799999996</v>
      </c>
      <c r="V240" s="23" t="s">
        <v>319</v>
      </c>
    </row>
    <row r="241" spans="1:22" ht="14.5" x14ac:dyDescent="0.3">
      <c r="A241" s="17">
        <v>2006</v>
      </c>
      <c r="B241" s="18">
        <f t="shared" si="8"/>
        <v>577.78240000000005</v>
      </c>
      <c r="C241" s="18">
        <f t="shared" si="9"/>
        <v>11675.926740000001</v>
      </c>
      <c r="D241" s="18">
        <f t="shared" si="10"/>
        <v>3180.85878</v>
      </c>
      <c r="E241" s="18">
        <f t="shared" si="11"/>
        <v>4716.7043999999996</v>
      </c>
      <c r="F241" s="18">
        <f t="shared" si="12"/>
        <v>6265.0501199999999</v>
      </c>
      <c r="G241" s="18">
        <f t="shared" si="13"/>
        <v>6490.0519199999999</v>
      </c>
      <c r="H241" s="21">
        <f t="shared" si="14"/>
        <v>0.19722780300855969</v>
      </c>
      <c r="K241" s="17">
        <v>2006</v>
      </c>
      <c r="L241" s="18">
        <v>577.78240000000005</v>
      </c>
      <c r="M241" s="18">
        <v>605.28261999999995</v>
      </c>
      <c r="N241" s="18">
        <v>11070.644120000001</v>
      </c>
      <c r="O241" s="18">
        <v>3180.85878</v>
      </c>
      <c r="P241" s="18">
        <v>4716.7043999999996</v>
      </c>
      <c r="Q241" s="18">
        <v>0</v>
      </c>
      <c r="R241" s="18">
        <v>6265.0501199999999</v>
      </c>
      <c r="S241" s="18">
        <v>6490.0519199999999</v>
      </c>
      <c r="T241" s="18">
        <f t="shared" si="15"/>
        <v>32906.374360000002</v>
      </c>
      <c r="V241" s="23" t="s">
        <v>318</v>
      </c>
    </row>
    <row r="242" spans="1:22" x14ac:dyDescent="0.3">
      <c r="A242" s="17">
        <v>2007</v>
      </c>
      <c r="B242" s="18">
        <f t="shared" si="8"/>
        <v>1043.34168</v>
      </c>
      <c r="C242" s="18">
        <f t="shared" si="9"/>
        <v>12376.765679999999</v>
      </c>
      <c r="D242" s="18">
        <f t="shared" si="10"/>
        <v>3183.0810200000001</v>
      </c>
      <c r="E242" s="18">
        <f t="shared" si="11"/>
        <v>5715.8790600000002</v>
      </c>
      <c r="F242" s="18">
        <f t="shared" si="12"/>
        <v>6050.6039600000004</v>
      </c>
      <c r="G242" s="18">
        <f t="shared" si="13"/>
        <v>6795.0543600000001</v>
      </c>
      <c r="H242" s="21">
        <f t="shared" si="14"/>
        <v>0.19323495955510617</v>
      </c>
      <c r="K242" s="17">
        <v>2007</v>
      </c>
      <c r="L242" s="18">
        <v>1043.34168</v>
      </c>
      <c r="M242" s="18">
        <v>866.11803999999995</v>
      </c>
      <c r="N242" s="18">
        <v>11510.647639999999</v>
      </c>
      <c r="O242" s="18">
        <v>3183.0810200000001</v>
      </c>
      <c r="P242" s="18">
        <v>5715.8790600000002</v>
      </c>
      <c r="Q242" s="18">
        <v>0</v>
      </c>
      <c r="R242" s="18">
        <v>6050.6039600000004</v>
      </c>
      <c r="S242" s="18">
        <v>6795.0543600000001</v>
      </c>
      <c r="T242" s="18">
        <f t="shared" si="15"/>
        <v>35164.725760000001</v>
      </c>
    </row>
    <row r="243" spans="1:22" x14ac:dyDescent="0.3">
      <c r="A243" s="17">
        <v>2008</v>
      </c>
      <c r="B243" s="18">
        <f t="shared" si="8"/>
        <v>1104.7310600000001</v>
      </c>
      <c r="C243" s="18">
        <f t="shared" si="9"/>
        <v>11933.4288</v>
      </c>
      <c r="D243" s="18">
        <f t="shared" si="10"/>
        <v>2708.9105599999998</v>
      </c>
      <c r="E243" s="18">
        <f t="shared" si="11"/>
        <v>6241.16104</v>
      </c>
      <c r="F243" s="18">
        <f t="shared" si="12"/>
        <v>5920.8806999999997</v>
      </c>
      <c r="G243" s="18">
        <f t="shared" si="13"/>
        <v>7003.9449199999999</v>
      </c>
      <c r="H243" s="21">
        <f t="shared" si="14"/>
        <v>0.20061104657638879</v>
      </c>
      <c r="K243" s="17">
        <v>2008</v>
      </c>
      <c r="L243" s="18">
        <v>1104.7310600000001</v>
      </c>
      <c r="M243" s="18">
        <v>815.28430000000003</v>
      </c>
      <c r="N243" s="18">
        <v>11118.1445</v>
      </c>
      <c r="O243" s="18">
        <v>2708.9105599999998</v>
      </c>
      <c r="P243" s="18">
        <v>6241.16104</v>
      </c>
      <c r="Q243" s="18">
        <v>0</v>
      </c>
      <c r="R243" s="18">
        <v>5920.8806999999997</v>
      </c>
      <c r="S243" s="18">
        <v>7003.9449199999999</v>
      </c>
      <c r="T243" s="18">
        <f t="shared" si="15"/>
        <v>34913.057079999999</v>
      </c>
    </row>
    <row r="244" spans="1:22" x14ac:dyDescent="0.3">
      <c r="A244" s="17">
        <v>2009</v>
      </c>
      <c r="B244" s="18">
        <f t="shared" si="8"/>
        <v>685.83882000000006</v>
      </c>
      <c r="C244" s="18">
        <f t="shared" si="9"/>
        <v>10427.02786</v>
      </c>
      <c r="D244" s="18">
        <f t="shared" si="10"/>
        <v>2140.5726800000002</v>
      </c>
      <c r="E244" s="18">
        <f t="shared" si="11"/>
        <v>6037.27052</v>
      </c>
      <c r="F244" s="18">
        <f t="shared" si="12"/>
        <v>5745.8792999999996</v>
      </c>
      <c r="G244" s="18">
        <f t="shared" si="13"/>
        <v>6650.0532000000003</v>
      </c>
      <c r="H244" s="21">
        <f t="shared" si="14"/>
        <v>0.20986929193221762</v>
      </c>
      <c r="K244" s="17">
        <v>2009</v>
      </c>
      <c r="L244" s="18">
        <v>685.83882000000006</v>
      </c>
      <c r="M244" s="18">
        <v>377.22523999999999</v>
      </c>
      <c r="N244" s="18">
        <v>10049.80262</v>
      </c>
      <c r="O244" s="18">
        <v>2140.5726800000002</v>
      </c>
      <c r="P244" s="18">
        <v>6037.27052</v>
      </c>
      <c r="Q244" s="18">
        <v>0</v>
      </c>
      <c r="R244" s="18">
        <v>5745.8792999999996</v>
      </c>
      <c r="S244" s="18">
        <v>6650.0532000000003</v>
      </c>
      <c r="T244" s="18">
        <f t="shared" si="15"/>
        <v>31686.642380000005</v>
      </c>
    </row>
    <row r="245" spans="1:22" x14ac:dyDescent="0.3">
      <c r="A245" s="17">
        <v>2010</v>
      </c>
      <c r="B245" s="18">
        <f t="shared" si="8"/>
        <v>481.94830000000002</v>
      </c>
      <c r="C245" s="18">
        <f t="shared" si="9"/>
        <v>11004.81026</v>
      </c>
      <c r="D245" s="18">
        <f t="shared" si="10"/>
        <v>2408.3526000000002</v>
      </c>
      <c r="E245" s="18">
        <f t="shared" si="11"/>
        <v>6491.9963799999996</v>
      </c>
      <c r="F245" s="18">
        <f t="shared" si="12"/>
        <v>6181.71612</v>
      </c>
      <c r="G245" s="18">
        <f t="shared" si="13"/>
        <v>6908.1108199999999</v>
      </c>
      <c r="H245" s="21">
        <f t="shared" si="14"/>
        <v>0.20635434299180189</v>
      </c>
      <c r="K245" s="17">
        <v>2010</v>
      </c>
      <c r="L245" s="18">
        <v>481.94830000000002</v>
      </c>
      <c r="M245" s="18">
        <v>512.50409999999999</v>
      </c>
      <c r="N245" s="18">
        <v>10492.30616</v>
      </c>
      <c r="O245" s="18">
        <v>2408.3526000000002</v>
      </c>
      <c r="P245" s="18">
        <v>6491.9963799999996</v>
      </c>
      <c r="Q245" s="18">
        <v>0</v>
      </c>
      <c r="R245" s="18">
        <v>6181.71612</v>
      </c>
      <c r="S245" s="18">
        <v>6908.1108199999999</v>
      </c>
      <c r="T245" s="18">
        <f t="shared" si="15"/>
        <v>33476.934480000004</v>
      </c>
    </row>
    <row r="246" spans="1:22" x14ac:dyDescent="0.3">
      <c r="A246" s="17">
        <v>2011</v>
      </c>
      <c r="B246" s="18">
        <f t="shared" si="8"/>
        <v>585.83802000000003</v>
      </c>
      <c r="C246" s="18">
        <f t="shared" si="9"/>
        <v>11410.92462</v>
      </c>
      <c r="D246" s="18">
        <f t="shared" si="10"/>
        <v>2366.6855999999998</v>
      </c>
      <c r="E246" s="18">
        <f t="shared" si="11"/>
        <v>5838.9355999999998</v>
      </c>
      <c r="F246" s="18">
        <f t="shared" si="12"/>
        <v>5521.7108399999997</v>
      </c>
      <c r="G246" s="18">
        <f t="shared" si="13"/>
        <v>6626.9974599999996</v>
      </c>
      <c r="H246" s="21">
        <f t="shared" si="14"/>
        <v>0.20484617432145832</v>
      </c>
      <c r="K246" s="17">
        <v>2011</v>
      </c>
      <c r="L246" s="18">
        <v>585.83802000000003</v>
      </c>
      <c r="M246" s="18">
        <v>607.22708</v>
      </c>
      <c r="N246" s="18">
        <v>10803.697539999999</v>
      </c>
      <c r="O246" s="18">
        <v>2366.6855999999998</v>
      </c>
      <c r="P246" s="18">
        <v>5838.9355999999998</v>
      </c>
      <c r="Q246" s="18">
        <v>0</v>
      </c>
      <c r="R246" s="18">
        <v>5521.7108399999997</v>
      </c>
      <c r="S246" s="18">
        <v>6626.9974599999996</v>
      </c>
      <c r="T246" s="18">
        <f t="shared" si="15"/>
        <v>32351.092139999997</v>
      </c>
    </row>
    <row r="247" spans="1:22" x14ac:dyDescent="0.3">
      <c r="A247" s="17">
        <v>2012</v>
      </c>
      <c r="B247" s="18">
        <f t="shared" si="8"/>
        <v>533.89315999999997</v>
      </c>
      <c r="C247" s="18">
        <f t="shared" si="9"/>
        <v>11513.147659999999</v>
      </c>
      <c r="D247" s="18">
        <f t="shared" si="10"/>
        <v>2536.9647399999999</v>
      </c>
      <c r="E247" s="18">
        <f t="shared" si="11"/>
        <v>5613.1004599999997</v>
      </c>
      <c r="F247" s="18">
        <f t="shared" si="12"/>
        <v>5705.6012000000001</v>
      </c>
      <c r="G247" s="18">
        <f t="shared" si="13"/>
        <v>6978.1113800000003</v>
      </c>
      <c r="H247" s="21">
        <f t="shared" si="14"/>
        <v>0.21222438117766326</v>
      </c>
      <c r="K247" s="17">
        <v>2012</v>
      </c>
      <c r="L247" s="18">
        <v>533.89315999999997</v>
      </c>
      <c r="M247" s="18">
        <v>482.78163999999998</v>
      </c>
      <c r="N247" s="18">
        <v>11030.366019999999</v>
      </c>
      <c r="O247" s="18">
        <v>2536.9647399999999</v>
      </c>
      <c r="P247" s="18">
        <v>5613.1004599999997</v>
      </c>
      <c r="Q247" s="18">
        <v>0</v>
      </c>
      <c r="R247" s="18">
        <v>5705.6012000000001</v>
      </c>
      <c r="S247" s="18">
        <v>6978.1113800000003</v>
      </c>
      <c r="T247" s="18">
        <f t="shared" si="15"/>
        <v>32880.818599999999</v>
      </c>
    </row>
    <row r="248" spans="1:22" x14ac:dyDescent="0.3">
      <c r="A248" s="17">
        <v>2013</v>
      </c>
      <c r="B248" s="18">
        <f t="shared" si="8"/>
        <v>516.94857999999999</v>
      </c>
      <c r="C248" s="18">
        <f t="shared" si="9"/>
        <v>11138.700219999999</v>
      </c>
      <c r="D248" s="18">
        <f t="shared" si="10"/>
        <v>2908.0788200000002</v>
      </c>
      <c r="E248" s="18">
        <f t="shared" si="11"/>
        <v>6229.7720600000002</v>
      </c>
      <c r="F248" s="18">
        <f t="shared" si="12"/>
        <v>5420.0433599999997</v>
      </c>
      <c r="G248" s="18">
        <f t="shared" si="13"/>
        <v>6820.0545599999996</v>
      </c>
      <c r="H248" s="21">
        <f t="shared" si="14"/>
        <v>0.20645812310797174</v>
      </c>
      <c r="K248" s="17">
        <v>2013</v>
      </c>
      <c r="L248" s="18">
        <v>516.94857999999999</v>
      </c>
      <c r="M248" s="18">
        <v>421.94781999999998</v>
      </c>
      <c r="N248" s="18">
        <v>10716.752399999999</v>
      </c>
      <c r="O248" s="18">
        <v>2908.0788200000002</v>
      </c>
      <c r="P248" s="18">
        <v>5556.1555600000002</v>
      </c>
      <c r="Q248" s="18">
        <v>673.61649999999997</v>
      </c>
      <c r="R248" s="18">
        <v>5420.0433599999997</v>
      </c>
      <c r="S248" s="18">
        <v>6820.0545599999996</v>
      </c>
      <c r="T248" s="18">
        <f t="shared" si="15"/>
        <v>33033.597600000001</v>
      </c>
    </row>
    <row r="249" spans="1:22" x14ac:dyDescent="0.3">
      <c r="A249" s="17">
        <v>2014</v>
      </c>
      <c r="B249" s="18">
        <f t="shared" si="8"/>
        <v>608.61598000000004</v>
      </c>
      <c r="C249" s="18">
        <f t="shared" si="9"/>
        <v>11237.03434</v>
      </c>
      <c r="D249" s="18">
        <f t="shared" si="10"/>
        <v>2603.3541599999999</v>
      </c>
      <c r="E249" s="18">
        <f t="shared" si="11"/>
        <v>5805.6019999999999</v>
      </c>
      <c r="F249" s="18">
        <f t="shared" si="12"/>
        <v>5105.0408399999997</v>
      </c>
      <c r="G249" s="18">
        <f t="shared" si="13"/>
        <v>6906.1663600000002</v>
      </c>
      <c r="H249" s="21">
        <f t="shared" si="14"/>
        <v>0.21403973966045667</v>
      </c>
      <c r="K249" s="17">
        <v>2014</v>
      </c>
      <c r="L249" s="18">
        <v>608.61598000000004</v>
      </c>
      <c r="M249" s="18">
        <v>394.44760000000002</v>
      </c>
      <c r="N249" s="18">
        <v>10842.586740000001</v>
      </c>
      <c r="O249" s="18">
        <v>2603.3541599999999</v>
      </c>
      <c r="P249" s="18">
        <v>5609.2115400000002</v>
      </c>
      <c r="Q249" s="18">
        <v>196.39045999999999</v>
      </c>
      <c r="R249" s="18">
        <v>5105.0408399999997</v>
      </c>
      <c r="S249" s="18">
        <v>6906.1663600000002</v>
      </c>
      <c r="T249" s="18">
        <f t="shared" si="15"/>
        <v>32265.813679999996</v>
      </c>
    </row>
    <row r="250" spans="1:22" x14ac:dyDescent="0.3">
      <c r="A250" s="17">
        <v>2015</v>
      </c>
      <c r="B250" s="18">
        <f t="shared" si="8"/>
        <v>234.16854000000001</v>
      </c>
      <c r="C250" s="18">
        <f t="shared" si="9"/>
        <v>11401.757879999999</v>
      </c>
      <c r="D250" s="18">
        <f t="shared" si="10"/>
        <v>2586.6873599999999</v>
      </c>
      <c r="E250" s="18">
        <f t="shared" si="11"/>
        <v>5903.65834</v>
      </c>
      <c r="F250" s="18">
        <f t="shared" si="12"/>
        <v>5008.0956200000001</v>
      </c>
      <c r="G250" s="18">
        <f t="shared" si="13"/>
        <v>6851.9992599999996</v>
      </c>
      <c r="H250" s="21">
        <f t="shared" si="14"/>
        <v>0.21421623968736428</v>
      </c>
      <c r="K250" s="17">
        <v>2015</v>
      </c>
      <c r="L250" s="18">
        <v>234.16854000000001</v>
      </c>
      <c r="M250" s="18">
        <v>173.89027999999999</v>
      </c>
      <c r="N250" s="18">
        <v>11227.8676</v>
      </c>
      <c r="O250" s="18">
        <v>2586.6873599999999</v>
      </c>
      <c r="P250" s="18">
        <v>5684.48992</v>
      </c>
      <c r="Q250" s="18">
        <v>219.16842</v>
      </c>
      <c r="R250" s="18">
        <v>5008.0956200000001</v>
      </c>
      <c r="S250" s="18">
        <v>6851.9992599999996</v>
      </c>
      <c r="T250" s="18">
        <f t="shared" si="15"/>
        <v>31986.367000000002</v>
      </c>
    </row>
    <row r="251" spans="1:22" x14ac:dyDescent="0.3">
      <c r="A251" s="17">
        <v>2016</v>
      </c>
      <c r="B251" s="18">
        <f t="shared" si="8"/>
        <v>223.33511999999999</v>
      </c>
      <c r="C251" s="18">
        <f t="shared" si="9"/>
        <v>11487.86968</v>
      </c>
      <c r="D251" s="18">
        <f t="shared" si="10"/>
        <v>2935.85682</v>
      </c>
      <c r="E251" s="18">
        <f t="shared" si="11"/>
        <v>5064.4849600000007</v>
      </c>
      <c r="F251" s="18">
        <f t="shared" si="12"/>
        <v>5493.65506</v>
      </c>
      <c r="G251" s="18">
        <f t="shared" si="13"/>
        <v>7298.9472800000003</v>
      </c>
      <c r="H251" s="21">
        <f t="shared" si="14"/>
        <v>0.22455432683268667</v>
      </c>
      <c r="K251" s="17">
        <v>2016</v>
      </c>
      <c r="L251" s="18">
        <v>223.33511999999999</v>
      </c>
      <c r="M251" s="18">
        <v>113.33423999999999</v>
      </c>
      <c r="N251" s="18">
        <v>11374.53544</v>
      </c>
      <c r="O251" s="18">
        <v>2935.85682</v>
      </c>
      <c r="P251" s="18">
        <v>4859.4833200000003</v>
      </c>
      <c r="Q251" s="18">
        <v>205.00164000000001</v>
      </c>
      <c r="R251" s="18">
        <v>5493.65506</v>
      </c>
      <c r="S251" s="18">
        <v>7298.9472800000003</v>
      </c>
      <c r="T251" s="18">
        <f t="shared" si="15"/>
        <v>32504.14892</v>
      </c>
    </row>
    <row r="252" spans="1:22" x14ac:dyDescent="0.3">
      <c r="A252" s="17">
        <v>2017</v>
      </c>
      <c r="B252" s="18">
        <f t="shared" si="8"/>
        <v>245.00196</v>
      </c>
      <c r="C252" s="18">
        <f t="shared" si="9"/>
        <v>11715.371500000001</v>
      </c>
      <c r="D252" s="18">
        <f t="shared" si="10"/>
        <v>2741.4108200000001</v>
      </c>
      <c r="E252" s="18">
        <f t="shared" si="11"/>
        <v>5260.0420799999993</v>
      </c>
      <c r="F252" s="18">
        <f t="shared" si="12"/>
        <v>5534.4887200000003</v>
      </c>
      <c r="G252" s="18">
        <f t="shared" si="13"/>
        <v>7232.5578599999999</v>
      </c>
      <c r="H252" s="21">
        <f t="shared" si="14"/>
        <v>0.22098401840048207</v>
      </c>
      <c r="K252" s="17">
        <v>2017</v>
      </c>
      <c r="L252" s="18">
        <v>245.00196</v>
      </c>
      <c r="M252" s="18">
        <v>232.50185999999999</v>
      </c>
      <c r="N252" s="18">
        <v>11482.869640000001</v>
      </c>
      <c r="O252" s="18">
        <v>2741.4108200000001</v>
      </c>
      <c r="P252" s="18">
        <v>5065.8738599999997</v>
      </c>
      <c r="Q252" s="18">
        <v>194.16821999999999</v>
      </c>
      <c r="R252" s="18">
        <v>5534.4887200000003</v>
      </c>
      <c r="S252" s="18">
        <v>7232.5578599999999</v>
      </c>
      <c r="T252" s="18">
        <f t="shared" si="15"/>
        <v>32728.872940000001</v>
      </c>
    </row>
    <row r="253" spans="1:22" x14ac:dyDescent="0.3">
      <c r="A253" s="17">
        <v>2018</v>
      </c>
      <c r="B253" s="18">
        <f t="shared" si="8"/>
        <v>305.55799999999999</v>
      </c>
      <c r="C253" s="18">
        <f t="shared" si="9"/>
        <v>11778.14978</v>
      </c>
      <c r="D253" s="18">
        <f t="shared" si="10"/>
        <v>2925.8567400000002</v>
      </c>
      <c r="E253" s="18">
        <f t="shared" si="11"/>
        <v>5489.4883599999994</v>
      </c>
      <c r="F253" s="18">
        <f t="shared" si="12"/>
        <v>5601.4336999999996</v>
      </c>
      <c r="G253" s="18">
        <f t="shared" si="13"/>
        <v>7491.1710400000002</v>
      </c>
      <c r="H253" s="21">
        <f t="shared" si="14"/>
        <v>0.22300688833943885</v>
      </c>
      <c r="K253" s="17">
        <v>2018</v>
      </c>
      <c r="L253" s="18">
        <v>305.55799999999999</v>
      </c>
      <c r="M253" s="18">
        <v>260.83542</v>
      </c>
      <c r="N253" s="18">
        <v>11517.31436</v>
      </c>
      <c r="O253" s="18">
        <v>2925.8567400000002</v>
      </c>
      <c r="P253" s="18">
        <v>5385.3208599999998</v>
      </c>
      <c r="Q253" s="18">
        <v>104.1675</v>
      </c>
      <c r="R253" s="18">
        <v>5601.4336999999996</v>
      </c>
      <c r="S253" s="18">
        <v>7491.1710400000002</v>
      </c>
      <c r="T253" s="18">
        <f t="shared" si="15"/>
        <v>33591.657619999998</v>
      </c>
    </row>
    <row r="254" spans="1:22" x14ac:dyDescent="0.3">
      <c r="A254" s="17">
        <v>2019</v>
      </c>
      <c r="B254" s="18">
        <f t="shared" si="8"/>
        <v>348.89168000000001</v>
      </c>
      <c r="C254" s="18">
        <f t="shared" si="9"/>
        <v>11609.8151</v>
      </c>
      <c r="D254" s="18">
        <f t="shared" si="10"/>
        <v>2836.6893599999999</v>
      </c>
      <c r="E254" s="18">
        <f t="shared" si="11"/>
        <v>5351.7094799999995</v>
      </c>
      <c r="F254" s="18">
        <f t="shared" si="12"/>
        <v>5401.7098800000003</v>
      </c>
      <c r="G254" s="18">
        <f t="shared" si="13"/>
        <v>7317.0029800000002</v>
      </c>
      <c r="H254" s="21">
        <f t="shared" si="14"/>
        <v>0.22263261097400183</v>
      </c>
      <c r="K254" s="17">
        <v>2019</v>
      </c>
      <c r="L254" s="18">
        <v>348.89168000000001</v>
      </c>
      <c r="M254" s="18">
        <v>231.11295999999999</v>
      </c>
      <c r="N254" s="18">
        <v>11378.702139999999</v>
      </c>
      <c r="O254" s="18">
        <v>2836.6893599999999</v>
      </c>
      <c r="P254" s="18">
        <v>5148.6522999999997</v>
      </c>
      <c r="Q254" s="18">
        <v>203.05717999999999</v>
      </c>
      <c r="R254" s="18">
        <v>5401.7098800000003</v>
      </c>
      <c r="S254" s="18">
        <v>7317.0029800000002</v>
      </c>
      <c r="T254" s="18">
        <f t="shared" si="15"/>
        <v>32865.818479999994</v>
      </c>
    </row>
    <row r="255" spans="1:22" x14ac:dyDescent="0.3">
      <c r="A255" s="17">
        <v>2020</v>
      </c>
      <c r="B255" s="18">
        <f t="shared" si="8"/>
        <v>85.000680000000003</v>
      </c>
      <c r="C255" s="18">
        <f t="shared" si="9"/>
        <v>10575.917939999999</v>
      </c>
      <c r="D255" s="18">
        <f t="shared" si="10"/>
        <v>2850.57836</v>
      </c>
      <c r="E255" s="18">
        <f t="shared" si="11"/>
        <v>5648.6562999999996</v>
      </c>
      <c r="F255" s="18">
        <f t="shared" si="12"/>
        <v>5363.9318000000003</v>
      </c>
      <c r="G255" s="18">
        <f t="shared" si="13"/>
        <v>7180.0574399999996</v>
      </c>
      <c r="H255" s="21">
        <f t="shared" si="14"/>
        <v>0.22647063977430038</v>
      </c>
      <c r="K255" s="17">
        <v>2020</v>
      </c>
      <c r="L255" s="18">
        <v>85.000680000000003</v>
      </c>
      <c r="M255" s="18">
        <v>16.111239999999999</v>
      </c>
      <c r="N255" s="18">
        <v>10559.806699999999</v>
      </c>
      <c r="O255" s="18">
        <v>2850.57836</v>
      </c>
      <c r="P255" s="18">
        <v>5603.93372</v>
      </c>
      <c r="Q255" s="18">
        <v>44.722580000000001</v>
      </c>
      <c r="R255" s="18">
        <v>5363.9318000000003</v>
      </c>
      <c r="S255" s="18">
        <v>7180.0574399999996</v>
      </c>
      <c r="T255" s="18">
        <f t="shared" si="15"/>
        <v>31704.142519999998</v>
      </c>
    </row>
    <row r="256" spans="1:22" x14ac:dyDescent="0.3">
      <c r="A256" s="17">
        <v>2021</v>
      </c>
      <c r="B256" s="18">
        <f t="shared" si="8"/>
        <v>24.16686</v>
      </c>
      <c r="C256" s="18">
        <f t="shared" si="9"/>
        <v>10358.4162</v>
      </c>
      <c r="D256" s="18">
        <f t="shared" si="10"/>
        <v>3008.6351800000002</v>
      </c>
      <c r="E256" s="18">
        <f t="shared" si="11"/>
        <v>5606.7115199999998</v>
      </c>
      <c r="F256" s="18">
        <f t="shared" si="12"/>
        <v>5573.1001399999996</v>
      </c>
      <c r="G256" s="18">
        <f t="shared" si="13"/>
        <v>7883.67418</v>
      </c>
      <c r="H256" s="21">
        <f t="shared" si="14"/>
        <v>0.24291314320928484</v>
      </c>
      <c r="K256" s="17">
        <v>2021</v>
      </c>
      <c r="L256" s="18">
        <v>24.16686</v>
      </c>
      <c r="M256" s="18">
        <v>0</v>
      </c>
      <c r="N256" s="18">
        <v>10358.4162</v>
      </c>
      <c r="O256" s="18">
        <v>3008.6351800000002</v>
      </c>
      <c r="P256" s="18">
        <v>5603.1003799999999</v>
      </c>
      <c r="Q256" s="18">
        <v>3.6111399999999998</v>
      </c>
      <c r="R256" s="18">
        <v>5573.1001399999996</v>
      </c>
      <c r="S256" s="18">
        <v>7883.67418</v>
      </c>
      <c r="T256" s="18">
        <f t="shared" si="15"/>
        <v>32454.704079999996</v>
      </c>
    </row>
    <row r="257" spans="1:20" x14ac:dyDescent="0.3">
      <c r="A257" s="17">
        <v>2022</v>
      </c>
      <c r="B257" s="18">
        <f t="shared" si="8"/>
        <v>41.111440000000002</v>
      </c>
      <c r="C257" s="18">
        <f t="shared" si="9"/>
        <v>10980.921179999999</v>
      </c>
      <c r="D257" s="18">
        <f t="shared" si="10"/>
        <v>2073.9054799999999</v>
      </c>
      <c r="E257" s="18">
        <f t="shared" si="11"/>
        <v>5589.7669400000004</v>
      </c>
      <c r="F257" s="18">
        <f t="shared" si="12"/>
        <v>5815.0465199999999</v>
      </c>
      <c r="G257" s="18">
        <f t="shared" si="13"/>
        <v>7141.7237999999998</v>
      </c>
      <c r="H257" s="21">
        <f t="shared" si="14"/>
        <v>0.22570054076831236</v>
      </c>
      <c r="K257" s="17">
        <v>2022</v>
      </c>
      <c r="L257" s="18">
        <v>41.111440000000002</v>
      </c>
      <c r="M257" s="18">
        <v>0</v>
      </c>
      <c r="N257" s="18">
        <v>10980.921179999999</v>
      </c>
      <c r="O257" s="18">
        <v>2073.9054799999999</v>
      </c>
      <c r="P257" s="18">
        <v>5586.7113600000002</v>
      </c>
      <c r="Q257" s="18">
        <v>3.05558</v>
      </c>
      <c r="R257" s="18">
        <v>5815.0465199999999</v>
      </c>
      <c r="S257" s="18">
        <v>7141.7237999999998</v>
      </c>
      <c r="T257" s="18">
        <f t="shared" si="15"/>
        <v>31642.47536</v>
      </c>
    </row>
    <row r="258" spans="1:20" x14ac:dyDescent="0.3">
      <c r="A258" s="17">
        <v>2023</v>
      </c>
      <c r="B258" s="18">
        <f t="shared" si="8"/>
        <v>64.167180000000002</v>
      </c>
      <c r="C258" s="18">
        <f t="shared" si="9"/>
        <v>10958.976559999999</v>
      </c>
      <c r="D258" s="18">
        <f t="shared" si="10"/>
        <v>1878.6261400000001</v>
      </c>
      <c r="E258" s="18">
        <f t="shared" si="11"/>
        <v>5294.4868000000006</v>
      </c>
      <c r="F258" s="18">
        <f t="shared" si="12"/>
        <v>5637.2673199999999</v>
      </c>
      <c r="G258" s="18">
        <f t="shared" si="13"/>
        <v>6001.71468</v>
      </c>
      <c r="H258" s="21">
        <f t="shared" si="14"/>
        <v>0.20116194625998549</v>
      </c>
      <c r="K258" s="17">
        <v>2023</v>
      </c>
      <c r="L258" s="18">
        <v>64.167180000000002</v>
      </c>
      <c r="M258" s="18">
        <v>0</v>
      </c>
      <c r="N258" s="18">
        <v>10958.976559999999</v>
      </c>
      <c r="O258" s="18">
        <v>1878.6261400000001</v>
      </c>
      <c r="P258" s="18">
        <v>5291.4312200000004</v>
      </c>
      <c r="Q258" s="18">
        <v>3.05558</v>
      </c>
      <c r="R258" s="18">
        <v>5637.2673199999999</v>
      </c>
      <c r="S258" s="18">
        <v>6001.71468</v>
      </c>
      <c r="T258" s="18">
        <f t="shared" si="15"/>
        <v>29835.238679999999</v>
      </c>
    </row>
    <row r="259" spans="1:20" x14ac:dyDescent="0.3">
      <c r="A259" s="17">
        <v>2024</v>
      </c>
      <c r="B259" s="18">
        <f t="shared" si="8"/>
        <v>15.833460000000001</v>
      </c>
      <c r="C259" s="18">
        <f t="shared" si="9"/>
        <v>12828.15818</v>
      </c>
      <c r="D259" s="18">
        <f t="shared" si="10"/>
        <v>2091.40562</v>
      </c>
      <c r="E259" s="18">
        <f t="shared" si="11"/>
        <v>7148.9460799999997</v>
      </c>
      <c r="F259" s="18">
        <f t="shared" si="12"/>
        <v>6782.8320400000002</v>
      </c>
      <c r="G259" s="18">
        <f t="shared" si="13"/>
        <v>6620.05296</v>
      </c>
      <c r="H259" s="21">
        <f t="shared" si="14"/>
        <v>0.18654747833710361</v>
      </c>
      <c r="K259" s="17">
        <v>2024</v>
      </c>
      <c r="L259" s="18">
        <v>15.833460000000001</v>
      </c>
      <c r="M259" s="18">
        <v>0</v>
      </c>
      <c r="N259" s="18">
        <v>12828.15818</v>
      </c>
      <c r="O259" s="18">
        <v>2091.40562</v>
      </c>
      <c r="P259" s="18">
        <v>7148.9460799999997</v>
      </c>
      <c r="Q259" s="18">
        <v>0</v>
      </c>
      <c r="R259" s="18">
        <v>6782.8320400000002</v>
      </c>
      <c r="S259" s="18">
        <v>6620.05296</v>
      </c>
      <c r="T259" s="18">
        <f t="shared" si="15"/>
        <v>35487.228340000001</v>
      </c>
    </row>
    <row r="261" spans="1:20" ht="18" customHeight="1" x14ac:dyDescent="0.3">
      <c r="A261" s="10" t="s">
        <v>317</v>
      </c>
    </row>
    <row r="262" spans="1:20" ht="32" customHeight="1" x14ac:dyDescent="0.3">
      <c r="A262" s="11" t="s">
        <v>73</v>
      </c>
      <c r="B262" s="11" t="s">
        <v>316</v>
      </c>
    </row>
    <row r="263" spans="1:20" x14ac:dyDescent="0.3">
      <c r="A263" s="17">
        <v>2000</v>
      </c>
      <c r="B263" s="25">
        <v>3.5789759999999999</v>
      </c>
    </row>
    <row r="264" spans="1:20" x14ac:dyDescent="0.3">
      <c r="A264" s="17">
        <v>2001</v>
      </c>
      <c r="B264" s="25">
        <v>3.7107939140674362</v>
      </c>
    </row>
    <row r="265" spans="1:20" x14ac:dyDescent="0.3">
      <c r="A265" s="17">
        <v>2002</v>
      </c>
      <c r="B265" s="25">
        <v>3.856164884966498</v>
      </c>
    </row>
    <row r="266" spans="1:20" x14ac:dyDescent="0.3">
      <c r="A266" s="17">
        <v>2003</v>
      </c>
      <c r="B266" s="25">
        <v>4.0693692362509903</v>
      </c>
    </row>
    <row r="267" spans="1:20" x14ac:dyDescent="0.3">
      <c r="A267" s="17">
        <v>2004</v>
      </c>
      <c r="B267" s="25">
        <v>4.3279801354071363</v>
      </c>
    </row>
    <row r="268" spans="1:20" x14ac:dyDescent="0.3">
      <c r="A268" s="17">
        <v>2005</v>
      </c>
      <c r="B268" s="25">
        <v>4.4449706148581525</v>
      </c>
    </row>
    <row r="269" spans="1:20" x14ac:dyDescent="0.3">
      <c r="A269" s="17">
        <v>2006</v>
      </c>
      <c r="B269" s="25">
        <v>4.8049544088250533</v>
      </c>
    </row>
    <row r="270" spans="1:20" x14ac:dyDescent="0.3">
      <c r="A270" s="17">
        <v>2007</v>
      </c>
      <c r="B270" s="25">
        <v>5.0599100169779287</v>
      </c>
    </row>
    <row r="271" spans="1:20" x14ac:dyDescent="0.3">
      <c r="A271" s="17">
        <v>2008</v>
      </c>
      <c r="B271" s="25">
        <v>5.2329166193478978</v>
      </c>
    </row>
    <row r="272" spans="1:20" x14ac:dyDescent="0.3">
      <c r="A272" s="17">
        <v>2009</v>
      </c>
      <c r="B272" s="25">
        <v>4.9785536107326278</v>
      </c>
    </row>
    <row r="273" spans="1:2" x14ac:dyDescent="0.3">
      <c r="A273" s="17">
        <v>2010</v>
      </c>
      <c r="B273" s="25">
        <v>5.1812515056739343</v>
      </c>
    </row>
    <row r="274" spans="1:2" x14ac:dyDescent="0.3">
      <c r="A274" s="17">
        <v>2011</v>
      </c>
      <c r="B274" s="25">
        <v>4.9839789570266086</v>
      </c>
    </row>
    <row r="275" spans="1:2" x14ac:dyDescent="0.3">
      <c r="A275" s="17">
        <v>2012</v>
      </c>
      <c r="B275" s="25">
        <v>5.2656367825042993</v>
      </c>
    </row>
    <row r="276" spans="1:2" x14ac:dyDescent="0.3">
      <c r="A276" s="17">
        <v>2013</v>
      </c>
      <c r="B276" s="25">
        <v>5.1660270237105106</v>
      </c>
    </row>
    <row r="277" spans="1:2" x14ac:dyDescent="0.3">
      <c r="A277" s="17">
        <v>2014</v>
      </c>
      <c r="B277" s="25">
        <v>5.2485686557193656</v>
      </c>
    </row>
    <row r="278" spans="1:2" x14ac:dyDescent="0.3">
      <c r="A278" s="17">
        <v>2015</v>
      </c>
      <c r="B278" s="25">
        <v>5.2175059526936938</v>
      </c>
    </row>
    <row r="279" spans="1:2" x14ac:dyDescent="0.3">
      <c r="A279" s="17">
        <v>2016</v>
      </c>
      <c r="B279" s="25">
        <v>5.5465485461387418</v>
      </c>
    </row>
    <row r="280" spans="1:2" x14ac:dyDescent="0.3">
      <c r="A280" s="17">
        <v>2017</v>
      </c>
      <c r="B280" s="25">
        <v>5.4973893671116993</v>
      </c>
    </row>
    <row r="281" spans="1:2" x14ac:dyDescent="0.3">
      <c r="A281" s="17">
        <v>2018</v>
      </c>
      <c r="B281" s="25">
        <v>5.6788595539646121</v>
      </c>
    </row>
    <row r="282" spans="1:2" x14ac:dyDescent="0.3">
      <c r="A282" s="17">
        <v>2019</v>
      </c>
      <c r="B282" s="25">
        <v>5.5230166966078418</v>
      </c>
    </row>
    <row r="283" spans="1:2" x14ac:dyDescent="0.3">
      <c r="A283" s="17">
        <v>2020</v>
      </c>
      <c r="B283" s="25">
        <v>5.4030528057648155</v>
      </c>
    </row>
    <row r="284" spans="1:2" x14ac:dyDescent="0.3">
      <c r="A284" s="17">
        <v>2021</v>
      </c>
      <c r="B284" s="25">
        <v>5.9272715229597281</v>
      </c>
    </row>
    <row r="285" spans="1:2" x14ac:dyDescent="0.3">
      <c r="A285" s="17">
        <v>2022</v>
      </c>
      <c r="B285" s="25">
        <v>5.3624757845796198</v>
      </c>
    </row>
    <row r="286" spans="1:2" x14ac:dyDescent="0.3">
      <c r="A286" s="17">
        <v>2023</v>
      </c>
      <c r="B286" s="25">
        <v>4.3940149236684816</v>
      </c>
    </row>
    <row r="287" spans="1:2" x14ac:dyDescent="0.3">
      <c r="A287" s="17">
        <v>2024</v>
      </c>
      <c r="B287" s="25">
        <v>4.8156801948370793</v>
      </c>
    </row>
    <row r="289" spans="1:11" x14ac:dyDescent="0.3">
      <c r="A289" s="78" t="s">
        <v>315</v>
      </c>
      <c r="B289" s="78"/>
      <c r="C289" s="78"/>
      <c r="D289" s="78"/>
    </row>
    <row r="291" spans="1:11" ht="18" customHeight="1" x14ac:dyDescent="0.3">
      <c r="A291" s="10" t="s">
        <v>314</v>
      </c>
      <c r="I291" s="79"/>
      <c r="J291" s="79"/>
    </row>
    <row r="292" spans="1:11" ht="19" customHeight="1" x14ac:dyDescent="0.3">
      <c r="A292" s="22" t="s">
        <v>73</v>
      </c>
      <c r="B292" s="11">
        <v>2014</v>
      </c>
      <c r="C292" s="11">
        <v>2015</v>
      </c>
      <c r="D292" s="11">
        <v>2016</v>
      </c>
      <c r="E292" s="11">
        <v>2017</v>
      </c>
      <c r="F292" s="11">
        <v>2018</v>
      </c>
      <c r="G292" s="11">
        <v>2019</v>
      </c>
      <c r="H292" s="11">
        <v>2020</v>
      </c>
      <c r="I292" s="11">
        <v>2021</v>
      </c>
      <c r="J292" s="11">
        <v>2022</v>
      </c>
      <c r="K292" s="11">
        <v>2023</v>
      </c>
    </row>
    <row r="293" spans="1:11" x14ac:dyDescent="0.3">
      <c r="A293" s="23" t="s">
        <v>313</v>
      </c>
      <c r="B293" s="18">
        <v>375.97859800000003</v>
      </c>
      <c r="C293" s="18">
        <v>373.59975200000002</v>
      </c>
      <c r="D293" s="18">
        <v>413.59755800000005</v>
      </c>
      <c r="E293" s="18">
        <v>419.43528000000003</v>
      </c>
      <c r="F293" s="18">
        <v>402.32160000000005</v>
      </c>
      <c r="G293" s="18">
        <v>447.47769600000004</v>
      </c>
      <c r="H293" s="18">
        <v>431.91331000000002</v>
      </c>
      <c r="I293" s="18">
        <v>481.84906000000007</v>
      </c>
      <c r="J293" s="18">
        <v>425.34000000000003</v>
      </c>
      <c r="K293" s="18">
        <v>467.38889000000006</v>
      </c>
    </row>
    <row r="294" spans="1:11" x14ac:dyDescent="0.3">
      <c r="A294" s="23" t="s">
        <v>312</v>
      </c>
      <c r="B294" s="18">
        <v>0</v>
      </c>
      <c r="C294" s="18">
        <v>0</v>
      </c>
      <c r="D294" s="18">
        <v>0</v>
      </c>
      <c r="E294" s="18">
        <v>0</v>
      </c>
      <c r="F294" s="18">
        <v>0</v>
      </c>
      <c r="G294" s="18">
        <v>0</v>
      </c>
      <c r="H294" s="18">
        <v>0</v>
      </c>
      <c r="I294" s="18">
        <v>0</v>
      </c>
      <c r="J294" s="18">
        <v>0</v>
      </c>
      <c r="K294" s="18">
        <v>0</v>
      </c>
    </row>
    <row r="295" spans="1:11" x14ac:dyDescent="0.3">
      <c r="A295" s="23" t="s">
        <v>161</v>
      </c>
      <c r="B295" s="18">
        <v>66.143984000000003</v>
      </c>
      <c r="C295" s="18">
        <v>65.725594000000001</v>
      </c>
      <c r="D295" s="18">
        <v>72.762051999999997</v>
      </c>
      <c r="E295" s="18">
        <v>73.790096000000005</v>
      </c>
      <c r="F295" s="18">
        <v>71.05680000000001</v>
      </c>
      <c r="G295" s="18">
        <v>78.72292800000001</v>
      </c>
      <c r="H295" s="18">
        <v>75.984628000000015</v>
      </c>
      <c r="I295" s="18">
        <v>84.769706000000014</v>
      </c>
      <c r="J295" s="18">
        <v>73.058400000000006</v>
      </c>
      <c r="K295" s="18">
        <v>82.280215999999996</v>
      </c>
    </row>
    <row r="296" spans="1:11" x14ac:dyDescent="0.3">
      <c r="A296" s="9" t="s">
        <v>265</v>
      </c>
    </row>
    <row r="298" spans="1:11" ht="18" customHeight="1" x14ac:dyDescent="0.3">
      <c r="A298" s="10" t="s">
        <v>311</v>
      </c>
    </row>
    <row r="299" spans="1:11" ht="32" customHeight="1" x14ac:dyDescent="0.3">
      <c r="A299" s="11" t="s">
        <v>73</v>
      </c>
      <c r="B299" s="11" t="s">
        <v>310</v>
      </c>
      <c r="C299" s="11" t="s">
        <v>309</v>
      </c>
      <c r="D299" s="11" t="s">
        <v>308</v>
      </c>
      <c r="E299" s="11" t="s">
        <v>175</v>
      </c>
      <c r="F299" s="11" t="s">
        <v>158</v>
      </c>
    </row>
    <row r="300" spans="1:11" x14ac:dyDescent="0.3">
      <c r="A300" s="17">
        <v>2000</v>
      </c>
      <c r="B300" s="14">
        <v>91</v>
      </c>
      <c r="C300" s="14">
        <v>30</v>
      </c>
      <c r="D300" s="14">
        <v>57</v>
      </c>
      <c r="E300" s="14">
        <v>3</v>
      </c>
      <c r="F300" s="14">
        <v>1</v>
      </c>
    </row>
    <row r="301" spans="1:11" x14ac:dyDescent="0.3">
      <c r="A301" s="17">
        <v>2001</v>
      </c>
      <c r="B301" s="14">
        <v>84</v>
      </c>
      <c r="C301" s="14">
        <v>30</v>
      </c>
      <c r="D301" s="14">
        <v>51</v>
      </c>
      <c r="E301" s="14">
        <v>2</v>
      </c>
      <c r="F301" s="14">
        <v>1</v>
      </c>
    </row>
    <row r="302" spans="1:11" x14ac:dyDescent="0.3">
      <c r="A302" s="17">
        <v>2002</v>
      </c>
      <c r="B302" s="14">
        <v>97</v>
      </c>
      <c r="C302" s="14">
        <v>31</v>
      </c>
      <c r="D302" s="14">
        <v>61</v>
      </c>
      <c r="E302" s="14">
        <v>3</v>
      </c>
      <c r="F302" s="14">
        <v>2</v>
      </c>
    </row>
    <row r="303" spans="1:11" x14ac:dyDescent="0.3">
      <c r="A303" s="17">
        <v>2003</v>
      </c>
      <c r="B303" s="14">
        <v>97</v>
      </c>
      <c r="C303" s="14">
        <v>33</v>
      </c>
      <c r="D303" s="14">
        <v>61</v>
      </c>
      <c r="E303" s="14">
        <v>2</v>
      </c>
      <c r="F303" s="14">
        <v>1</v>
      </c>
    </row>
    <row r="304" spans="1:11" x14ac:dyDescent="0.3">
      <c r="A304" s="17">
        <v>2004</v>
      </c>
      <c r="B304" s="14">
        <v>79</v>
      </c>
      <c r="C304" s="14">
        <v>36</v>
      </c>
      <c r="D304" s="14">
        <v>40</v>
      </c>
      <c r="E304" s="14">
        <v>2</v>
      </c>
      <c r="F304" s="14">
        <v>1</v>
      </c>
    </row>
    <row r="305" spans="1:33" x14ac:dyDescent="0.3">
      <c r="A305" s="17">
        <v>2005</v>
      </c>
      <c r="B305" s="14">
        <v>103</v>
      </c>
      <c r="C305" s="14">
        <v>26</v>
      </c>
      <c r="D305" s="14">
        <v>73</v>
      </c>
      <c r="E305" s="14">
        <v>3</v>
      </c>
      <c r="F305" s="14">
        <v>1</v>
      </c>
    </row>
    <row r="306" spans="1:33" x14ac:dyDescent="0.3">
      <c r="A306" s="17">
        <v>2006</v>
      </c>
      <c r="B306" s="14">
        <v>83</v>
      </c>
      <c r="C306" s="14">
        <v>26</v>
      </c>
      <c r="D306" s="14">
        <v>54</v>
      </c>
      <c r="E306" s="14">
        <v>3</v>
      </c>
      <c r="F306" s="14">
        <v>1</v>
      </c>
    </row>
    <row r="307" spans="1:33" x14ac:dyDescent="0.3">
      <c r="A307" s="17">
        <v>2007</v>
      </c>
      <c r="B307" s="14">
        <v>77</v>
      </c>
      <c r="C307" s="14">
        <v>24</v>
      </c>
      <c r="D307" s="14">
        <v>47</v>
      </c>
      <c r="E307" s="14">
        <v>4</v>
      </c>
      <c r="F307" s="14">
        <v>2</v>
      </c>
    </row>
    <row r="308" spans="1:33" x14ac:dyDescent="0.3">
      <c r="A308" s="17">
        <v>2008</v>
      </c>
      <c r="B308" s="14">
        <v>80</v>
      </c>
      <c r="C308" s="14">
        <v>24</v>
      </c>
      <c r="D308" s="14">
        <v>51</v>
      </c>
      <c r="E308" s="14">
        <v>4</v>
      </c>
      <c r="F308" s="14">
        <v>2</v>
      </c>
    </row>
    <row r="309" spans="1:33" x14ac:dyDescent="0.3">
      <c r="A309" s="17">
        <v>2009</v>
      </c>
      <c r="B309" s="14">
        <v>90</v>
      </c>
      <c r="C309" s="14">
        <v>14</v>
      </c>
      <c r="D309" s="14">
        <v>71</v>
      </c>
      <c r="E309" s="14">
        <v>5</v>
      </c>
      <c r="F309" s="14">
        <v>1</v>
      </c>
    </row>
    <row r="310" spans="1:33" x14ac:dyDescent="0.3">
      <c r="A310" s="17">
        <v>2010</v>
      </c>
      <c r="B310" s="14">
        <v>89</v>
      </c>
      <c r="C310" s="14">
        <v>19</v>
      </c>
      <c r="D310" s="14">
        <v>67</v>
      </c>
      <c r="E310" s="14">
        <v>4</v>
      </c>
      <c r="F310" s="14">
        <v>1</v>
      </c>
    </row>
    <row r="311" spans="1:33" x14ac:dyDescent="0.3">
      <c r="A311" s="17">
        <v>2011</v>
      </c>
      <c r="B311" s="14">
        <v>80</v>
      </c>
      <c r="C311" s="14">
        <v>16</v>
      </c>
      <c r="D311" s="14">
        <v>60</v>
      </c>
      <c r="E311" s="14">
        <v>4</v>
      </c>
      <c r="F311" s="14">
        <v>1</v>
      </c>
    </row>
    <row r="312" spans="1:33" x14ac:dyDescent="0.3">
      <c r="A312" s="17">
        <v>2012</v>
      </c>
      <c r="B312" s="14">
        <v>79</v>
      </c>
      <c r="C312" s="14">
        <v>17</v>
      </c>
      <c r="D312" s="14">
        <v>58</v>
      </c>
      <c r="E312" s="14">
        <v>3</v>
      </c>
      <c r="F312" s="14">
        <v>1</v>
      </c>
    </row>
    <row r="313" spans="1:33" x14ac:dyDescent="0.3">
      <c r="A313" s="17">
        <v>2013</v>
      </c>
      <c r="B313" s="14">
        <v>63</v>
      </c>
      <c r="C313" s="14">
        <v>15</v>
      </c>
      <c r="D313" s="14">
        <v>46</v>
      </c>
      <c r="E313" s="14">
        <v>2</v>
      </c>
      <c r="F313" s="14">
        <v>0</v>
      </c>
    </row>
    <row r="314" spans="1:33" x14ac:dyDescent="0.3">
      <c r="A314" s="17">
        <v>2014</v>
      </c>
      <c r="B314" s="14">
        <v>50</v>
      </c>
      <c r="C314" s="14">
        <v>16</v>
      </c>
      <c r="D314" s="14">
        <v>33</v>
      </c>
      <c r="E314" s="14">
        <v>2</v>
      </c>
      <c r="F314" s="14">
        <v>0</v>
      </c>
    </row>
    <row r="315" spans="1:33" x14ac:dyDescent="0.3">
      <c r="A315" s="17">
        <v>2015</v>
      </c>
      <c r="B315" s="14">
        <v>47</v>
      </c>
      <c r="C315" s="14">
        <v>15</v>
      </c>
      <c r="D315" s="14">
        <v>31</v>
      </c>
      <c r="E315" s="14">
        <v>1</v>
      </c>
      <c r="F315" s="14">
        <v>0</v>
      </c>
    </row>
    <row r="316" spans="1:33" x14ac:dyDescent="0.3">
      <c r="A316" s="17">
        <v>2016</v>
      </c>
      <c r="B316" s="14">
        <v>48</v>
      </c>
      <c r="C316" s="14">
        <v>14</v>
      </c>
      <c r="D316" s="14">
        <v>33</v>
      </c>
      <c r="E316" s="14">
        <v>1</v>
      </c>
      <c r="F316" s="14">
        <v>0</v>
      </c>
    </row>
    <row r="317" spans="1:33" x14ac:dyDescent="0.3">
      <c r="A317" s="17">
        <v>2017</v>
      </c>
      <c r="B317" s="14">
        <v>46</v>
      </c>
      <c r="C317" s="14">
        <v>16</v>
      </c>
      <c r="D317" s="14">
        <v>29</v>
      </c>
      <c r="E317" s="14">
        <v>1</v>
      </c>
      <c r="F317" s="14">
        <v>0</v>
      </c>
      <c r="AG317" s="26" t="s">
        <v>307</v>
      </c>
    </row>
    <row r="318" spans="1:33" x14ac:dyDescent="0.3">
      <c r="A318" s="17">
        <v>2018</v>
      </c>
      <c r="B318" s="14">
        <v>43</v>
      </c>
      <c r="C318" s="14">
        <v>12</v>
      </c>
      <c r="D318" s="14">
        <v>30</v>
      </c>
      <c r="E318" s="14">
        <v>1</v>
      </c>
      <c r="F318" s="14">
        <v>0</v>
      </c>
    </row>
    <row r="319" spans="1:33" x14ac:dyDescent="0.3">
      <c r="A319" s="17">
        <v>2019</v>
      </c>
      <c r="B319" s="14">
        <v>56</v>
      </c>
      <c r="C319" s="14">
        <v>15</v>
      </c>
      <c r="D319" s="14">
        <v>39</v>
      </c>
      <c r="E319" s="14">
        <v>1</v>
      </c>
      <c r="F319" s="14">
        <v>0</v>
      </c>
    </row>
    <row r="320" spans="1:33" x14ac:dyDescent="0.3">
      <c r="A320" s="17">
        <v>2020</v>
      </c>
      <c r="B320" s="14">
        <v>68</v>
      </c>
      <c r="C320" s="14">
        <v>16</v>
      </c>
      <c r="D320" s="14">
        <v>49</v>
      </c>
      <c r="E320" s="14">
        <v>2</v>
      </c>
      <c r="F320" s="14">
        <v>0</v>
      </c>
    </row>
    <row r="321" spans="1:6" x14ac:dyDescent="0.3">
      <c r="A321" s="17">
        <v>2021</v>
      </c>
      <c r="B321" s="14">
        <v>30</v>
      </c>
      <c r="C321" s="14">
        <v>13</v>
      </c>
      <c r="D321" s="14">
        <v>17</v>
      </c>
      <c r="E321" s="14">
        <v>0</v>
      </c>
      <c r="F321" s="14">
        <v>0</v>
      </c>
    </row>
    <row r="322" spans="1:6" x14ac:dyDescent="0.3">
      <c r="A322" s="17">
        <v>2022</v>
      </c>
      <c r="B322" s="14">
        <v>33</v>
      </c>
      <c r="C322" s="14">
        <v>13</v>
      </c>
      <c r="D322" s="14">
        <v>20</v>
      </c>
      <c r="E322" s="14">
        <v>0</v>
      </c>
      <c r="F322" s="14">
        <v>0</v>
      </c>
    </row>
    <row r="323" spans="1:6" x14ac:dyDescent="0.3">
      <c r="A323" s="17">
        <v>2023</v>
      </c>
      <c r="B323" s="14">
        <v>60</v>
      </c>
      <c r="C323" s="14">
        <v>23</v>
      </c>
      <c r="D323" s="14">
        <v>36</v>
      </c>
      <c r="E323" s="14">
        <v>0</v>
      </c>
      <c r="F323" s="14">
        <v>0</v>
      </c>
    </row>
    <row r="324" spans="1:6" x14ac:dyDescent="0.3">
      <c r="A324" s="17">
        <v>2024</v>
      </c>
      <c r="B324" s="14">
        <v>66</v>
      </c>
      <c r="C324" s="14">
        <v>23</v>
      </c>
      <c r="D324" s="14">
        <v>43</v>
      </c>
      <c r="E324" s="14">
        <v>0</v>
      </c>
      <c r="F324" s="14">
        <v>0</v>
      </c>
    </row>
    <row r="325" spans="1:6" x14ac:dyDescent="0.3">
      <c r="A325" s="9" t="s">
        <v>265</v>
      </c>
    </row>
    <row r="327" spans="1:6" ht="18" customHeight="1" x14ac:dyDescent="0.3">
      <c r="A327" s="10" t="s">
        <v>306</v>
      </c>
    </row>
    <row r="328" spans="1:6" ht="19" customHeight="1" x14ac:dyDescent="0.3">
      <c r="A328" s="22" t="s">
        <v>305</v>
      </c>
      <c r="B328" s="11">
        <v>2020</v>
      </c>
      <c r="C328" s="11">
        <v>2021</v>
      </c>
      <c r="D328" s="11">
        <v>2022</v>
      </c>
      <c r="E328" s="11">
        <v>2023</v>
      </c>
    </row>
    <row r="329" spans="1:6" x14ac:dyDescent="0.3">
      <c r="A329" s="15" t="s">
        <v>241</v>
      </c>
      <c r="B329" s="27">
        <v>0</v>
      </c>
      <c r="C329" s="27">
        <v>0</v>
      </c>
      <c r="D329" s="27">
        <v>2908.3248000000003</v>
      </c>
      <c r="E329" s="27">
        <v>1851.7282540000001</v>
      </c>
    </row>
    <row r="330" spans="1:6" x14ac:dyDescent="0.3">
      <c r="A330" s="23" t="s">
        <v>304</v>
      </c>
      <c r="B330" s="18">
        <v>0</v>
      </c>
      <c r="C330" s="18">
        <v>0</v>
      </c>
      <c r="D330" s="18">
        <v>929</v>
      </c>
      <c r="E330" s="18">
        <v>595</v>
      </c>
    </row>
    <row r="331" spans="1:6" x14ac:dyDescent="0.3">
      <c r="A331" s="23" t="s">
        <v>303</v>
      </c>
      <c r="B331" s="18">
        <v>0</v>
      </c>
      <c r="C331" s="18">
        <v>0</v>
      </c>
      <c r="D331" s="18">
        <v>667</v>
      </c>
      <c r="E331" s="18">
        <v>482</v>
      </c>
    </row>
    <row r="332" spans="1:6" x14ac:dyDescent="0.3">
      <c r="A332" s="23" t="s">
        <v>302</v>
      </c>
      <c r="B332" s="18">
        <v>0</v>
      </c>
      <c r="C332" s="18">
        <v>0</v>
      </c>
      <c r="D332" s="18">
        <v>223</v>
      </c>
      <c r="E332" s="18">
        <v>136</v>
      </c>
    </row>
    <row r="333" spans="1:6" x14ac:dyDescent="0.3">
      <c r="A333" s="23" t="s">
        <v>301</v>
      </c>
      <c r="B333" s="18">
        <v>0</v>
      </c>
      <c r="C333" s="18">
        <v>0</v>
      </c>
      <c r="D333" s="18">
        <v>149</v>
      </c>
      <c r="E333" s="18">
        <v>130</v>
      </c>
    </row>
    <row r="334" spans="1:6" x14ac:dyDescent="0.3">
      <c r="A334" s="23" t="s">
        <v>300</v>
      </c>
      <c r="B334" s="18">
        <v>0</v>
      </c>
      <c r="C334" s="18">
        <v>0</v>
      </c>
      <c r="D334" s="18">
        <v>758</v>
      </c>
      <c r="E334" s="18">
        <v>479</v>
      </c>
    </row>
    <row r="335" spans="1:6" x14ac:dyDescent="0.3">
      <c r="A335" s="23" t="s">
        <v>299</v>
      </c>
      <c r="B335" s="18">
        <v>0</v>
      </c>
      <c r="C335" s="18">
        <v>0</v>
      </c>
      <c r="D335" s="18">
        <v>182</v>
      </c>
      <c r="E335" s="18">
        <v>30</v>
      </c>
    </row>
    <row r="336" spans="1:6" x14ac:dyDescent="0.3">
      <c r="A336" s="9" t="s">
        <v>265</v>
      </c>
    </row>
    <row r="338" spans="1:14" ht="18" customHeight="1" x14ac:dyDescent="0.3">
      <c r="A338" s="10" t="s">
        <v>298</v>
      </c>
    </row>
    <row r="339" spans="1:14" ht="45" customHeight="1" x14ac:dyDescent="0.3">
      <c r="A339" s="11" t="s">
        <v>73</v>
      </c>
      <c r="B339" s="11" t="s">
        <v>297</v>
      </c>
      <c r="C339" s="11" t="s">
        <v>296</v>
      </c>
      <c r="D339" s="11" t="s">
        <v>295</v>
      </c>
      <c r="E339" s="11" t="s">
        <v>294</v>
      </c>
      <c r="F339" s="11" t="s">
        <v>293</v>
      </c>
      <c r="G339" s="11" t="s">
        <v>292</v>
      </c>
      <c r="H339" s="11" t="s">
        <v>37</v>
      </c>
      <c r="I339" s="11" t="s">
        <v>291</v>
      </c>
      <c r="J339" s="11" t="s">
        <v>290</v>
      </c>
      <c r="K339" s="11" t="s">
        <v>289</v>
      </c>
      <c r="L339" s="11" t="s">
        <v>288</v>
      </c>
      <c r="M339" s="11" t="s">
        <v>287</v>
      </c>
      <c r="N339" s="11" t="s">
        <v>286</v>
      </c>
    </row>
    <row r="340" spans="1:14" x14ac:dyDescent="0.3">
      <c r="A340" s="17">
        <v>2000</v>
      </c>
      <c r="B340" s="13">
        <v>1833</v>
      </c>
      <c r="C340" s="14">
        <v>4</v>
      </c>
      <c r="D340" s="14">
        <v>311</v>
      </c>
      <c r="E340" s="14">
        <v>1</v>
      </c>
      <c r="F340" s="14">
        <v>151</v>
      </c>
      <c r="G340" s="14">
        <v>48</v>
      </c>
      <c r="H340" s="14">
        <v>133</v>
      </c>
      <c r="I340" s="14">
        <v>8</v>
      </c>
      <c r="J340" s="14">
        <v>267</v>
      </c>
      <c r="K340" s="14">
        <v>104</v>
      </c>
      <c r="L340" s="14">
        <v>219</v>
      </c>
      <c r="M340" s="14">
        <v>301</v>
      </c>
      <c r="N340" s="14">
        <v>184</v>
      </c>
    </row>
    <row r="341" spans="1:14" x14ac:dyDescent="0.3">
      <c r="A341" s="17">
        <v>2001</v>
      </c>
      <c r="B341" s="13">
        <v>1816</v>
      </c>
      <c r="C341" s="14">
        <v>4</v>
      </c>
      <c r="D341" s="14">
        <v>307</v>
      </c>
      <c r="E341" s="14">
        <v>3</v>
      </c>
      <c r="F341" s="14">
        <v>166</v>
      </c>
      <c r="G341" s="14">
        <v>30</v>
      </c>
      <c r="H341" s="14">
        <v>132</v>
      </c>
      <c r="I341" s="14">
        <v>15</v>
      </c>
      <c r="J341" s="14">
        <v>287</v>
      </c>
      <c r="K341" s="14">
        <v>109</v>
      </c>
      <c r="L341" s="14">
        <v>221</v>
      </c>
      <c r="M341" s="14">
        <v>249</v>
      </c>
      <c r="N341" s="14">
        <v>200</v>
      </c>
    </row>
    <row r="342" spans="1:14" x14ac:dyDescent="0.3">
      <c r="A342" s="17">
        <v>2002</v>
      </c>
      <c r="B342" s="13">
        <v>1884</v>
      </c>
      <c r="C342" s="14">
        <v>4</v>
      </c>
      <c r="D342" s="14">
        <v>282</v>
      </c>
      <c r="E342" s="14">
        <v>3</v>
      </c>
      <c r="F342" s="14">
        <v>172</v>
      </c>
      <c r="G342" s="14">
        <v>39</v>
      </c>
      <c r="H342" s="14">
        <v>157</v>
      </c>
      <c r="I342" s="14">
        <v>12</v>
      </c>
      <c r="J342" s="14">
        <v>292</v>
      </c>
      <c r="K342" s="14">
        <v>130</v>
      </c>
      <c r="L342" s="14">
        <v>243</v>
      </c>
      <c r="M342" s="14">
        <v>242</v>
      </c>
      <c r="N342" s="14">
        <v>214</v>
      </c>
    </row>
    <row r="343" spans="1:14" x14ac:dyDescent="0.3">
      <c r="A343" s="17">
        <v>2003</v>
      </c>
      <c r="B343" s="13">
        <v>2031</v>
      </c>
      <c r="C343" s="14">
        <v>4</v>
      </c>
      <c r="D343" s="14">
        <v>305</v>
      </c>
      <c r="E343" s="14">
        <v>4</v>
      </c>
      <c r="F343" s="14">
        <v>194</v>
      </c>
      <c r="G343" s="14">
        <v>42</v>
      </c>
      <c r="H343" s="14">
        <v>182</v>
      </c>
      <c r="I343" s="14">
        <v>17</v>
      </c>
      <c r="J343" s="14">
        <v>289</v>
      </c>
      <c r="K343" s="14">
        <v>127</v>
      </c>
      <c r="L343" s="14">
        <v>301</v>
      </c>
      <c r="M343" s="14">
        <v>255</v>
      </c>
      <c r="N343" s="14">
        <v>215</v>
      </c>
    </row>
    <row r="344" spans="1:14" x14ac:dyDescent="0.3">
      <c r="A344" s="17">
        <v>2004</v>
      </c>
      <c r="B344" s="13">
        <v>2144</v>
      </c>
      <c r="C344" s="14">
        <v>3</v>
      </c>
      <c r="D344" s="14">
        <v>330</v>
      </c>
      <c r="E344" s="14">
        <v>3</v>
      </c>
      <c r="F344" s="14">
        <v>200</v>
      </c>
      <c r="G344" s="14">
        <v>46</v>
      </c>
      <c r="H344" s="14">
        <v>200</v>
      </c>
      <c r="I344" s="14">
        <v>19</v>
      </c>
      <c r="J344" s="14">
        <v>300</v>
      </c>
      <c r="K344" s="14">
        <v>136</v>
      </c>
      <c r="L344" s="14">
        <v>341</v>
      </c>
      <c r="M344" s="14">
        <v>261</v>
      </c>
      <c r="N344" s="14">
        <v>210</v>
      </c>
    </row>
    <row r="345" spans="1:14" x14ac:dyDescent="0.3">
      <c r="A345" s="17">
        <v>2005</v>
      </c>
      <c r="B345" s="13">
        <v>2168</v>
      </c>
      <c r="C345" s="14">
        <v>5</v>
      </c>
      <c r="D345" s="14">
        <v>358</v>
      </c>
      <c r="E345" s="14">
        <v>7</v>
      </c>
      <c r="F345" s="14">
        <v>205</v>
      </c>
      <c r="G345" s="14">
        <v>47</v>
      </c>
      <c r="H345" s="14">
        <v>207</v>
      </c>
      <c r="I345" s="14">
        <v>20</v>
      </c>
      <c r="J345" s="14">
        <v>304</v>
      </c>
      <c r="K345" s="14">
        <v>140</v>
      </c>
      <c r="L345" s="14">
        <v>359</v>
      </c>
      <c r="M345" s="14">
        <v>195</v>
      </c>
      <c r="N345" s="14">
        <v>224</v>
      </c>
    </row>
    <row r="346" spans="1:14" x14ac:dyDescent="0.3">
      <c r="A346" s="17">
        <v>2006</v>
      </c>
      <c r="B346" s="13">
        <v>2339</v>
      </c>
      <c r="C346" s="14">
        <v>6</v>
      </c>
      <c r="D346" s="14">
        <v>361</v>
      </c>
      <c r="E346" s="14">
        <v>7</v>
      </c>
      <c r="F346" s="14">
        <v>218</v>
      </c>
      <c r="G346" s="14">
        <v>55</v>
      </c>
      <c r="H346" s="14">
        <v>216</v>
      </c>
      <c r="I346" s="14">
        <v>20</v>
      </c>
      <c r="J346" s="14">
        <v>294</v>
      </c>
      <c r="K346" s="14">
        <v>267</v>
      </c>
      <c r="L346" s="14">
        <v>364</v>
      </c>
      <c r="M346" s="14">
        <v>195</v>
      </c>
      <c r="N346" s="14">
        <v>229</v>
      </c>
    </row>
    <row r="347" spans="1:14" x14ac:dyDescent="0.3">
      <c r="A347" s="17">
        <v>2007</v>
      </c>
      <c r="B347" s="13">
        <v>2392</v>
      </c>
      <c r="C347" s="14">
        <v>5</v>
      </c>
      <c r="D347" s="14">
        <v>320</v>
      </c>
      <c r="E347" s="14">
        <v>9</v>
      </c>
      <c r="F347" s="14">
        <v>262</v>
      </c>
      <c r="G347" s="14">
        <v>54</v>
      </c>
      <c r="H347" s="14">
        <v>230</v>
      </c>
      <c r="I347" s="14">
        <v>20</v>
      </c>
      <c r="J347" s="14">
        <v>315</v>
      </c>
      <c r="K347" s="14">
        <v>345</v>
      </c>
      <c r="L347" s="14">
        <v>336</v>
      </c>
      <c r="M347" s="14">
        <v>150</v>
      </c>
      <c r="N347" s="14">
        <v>240</v>
      </c>
    </row>
    <row r="348" spans="1:14" x14ac:dyDescent="0.3">
      <c r="A348" s="17">
        <v>2008</v>
      </c>
      <c r="B348" s="13">
        <v>2335</v>
      </c>
      <c r="C348" s="14">
        <v>4</v>
      </c>
      <c r="D348" s="14">
        <v>354</v>
      </c>
      <c r="E348" s="14">
        <v>9</v>
      </c>
      <c r="F348" s="14">
        <v>245</v>
      </c>
      <c r="G348" s="14">
        <v>43</v>
      </c>
      <c r="H348" s="14">
        <v>248</v>
      </c>
      <c r="I348" s="14">
        <v>19</v>
      </c>
      <c r="J348" s="14">
        <v>310</v>
      </c>
      <c r="K348" s="14">
        <v>335</v>
      </c>
      <c r="L348" s="14">
        <v>288</v>
      </c>
      <c r="M348" s="14">
        <v>133</v>
      </c>
      <c r="N348" s="14">
        <v>246</v>
      </c>
    </row>
    <row r="349" spans="1:14" x14ac:dyDescent="0.3">
      <c r="A349" s="17">
        <v>2009</v>
      </c>
      <c r="B349" s="13">
        <v>1941</v>
      </c>
      <c r="C349" s="14">
        <v>3</v>
      </c>
      <c r="D349" s="14">
        <v>321</v>
      </c>
      <c r="E349" s="14">
        <v>6</v>
      </c>
      <c r="F349" s="14">
        <v>205</v>
      </c>
      <c r="G349" s="14">
        <v>38</v>
      </c>
      <c r="H349" s="14">
        <v>234</v>
      </c>
      <c r="I349" s="14">
        <v>16</v>
      </c>
      <c r="J349" s="14">
        <v>249</v>
      </c>
      <c r="K349" s="14">
        <v>275</v>
      </c>
      <c r="L349" s="14">
        <v>233</v>
      </c>
      <c r="M349" s="14">
        <v>116</v>
      </c>
      <c r="N349" s="14">
        <v>167</v>
      </c>
    </row>
    <row r="350" spans="1:14" x14ac:dyDescent="0.3">
      <c r="A350" s="17">
        <v>2010</v>
      </c>
      <c r="B350" s="13">
        <v>2095</v>
      </c>
      <c r="C350" s="14">
        <v>3</v>
      </c>
      <c r="D350" s="14">
        <v>252</v>
      </c>
      <c r="E350" s="14">
        <v>10</v>
      </c>
      <c r="F350" s="14">
        <v>210</v>
      </c>
      <c r="G350" s="14">
        <v>40</v>
      </c>
      <c r="H350" s="14">
        <v>294</v>
      </c>
      <c r="I350" s="14">
        <v>15</v>
      </c>
      <c r="J350" s="14">
        <v>278</v>
      </c>
      <c r="K350" s="14">
        <v>351</v>
      </c>
      <c r="L350" s="14">
        <v>278</v>
      </c>
      <c r="M350" s="14">
        <v>123</v>
      </c>
      <c r="N350" s="14">
        <v>179</v>
      </c>
    </row>
    <row r="351" spans="1:14" x14ac:dyDescent="0.3">
      <c r="A351" s="17">
        <v>2011</v>
      </c>
      <c r="B351" s="13">
        <v>2046</v>
      </c>
      <c r="C351" s="14">
        <v>3</v>
      </c>
      <c r="D351" s="14">
        <v>199</v>
      </c>
      <c r="E351" s="14">
        <v>7</v>
      </c>
      <c r="F351" s="14">
        <v>202</v>
      </c>
      <c r="G351" s="14">
        <v>44</v>
      </c>
      <c r="H351" s="14">
        <v>293</v>
      </c>
      <c r="I351" s="14">
        <v>16</v>
      </c>
      <c r="J351" s="14">
        <v>265</v>
      </c>
      <c r="K351" s="14">
        <v>337</v>
      </c>
      <c r="L351" s="14">
        <v>290</v>
      </c>
      <c r="M351" s="14">
        <v>124</v>
      </c>
      <c r="N351" s="14">
        <v>195</v>
      </c>
    </row>
    <row r="352" spans="1:14" x14ac:dyDescent="0.3">
      <c r="A352" s="17">
        <v>2012</v>
      </c>
      <c r="B352" s="13">
        <v>2187</v>
      </c>
      <c r="C352" s="14">
        <v>1</v>
      </c>
      <c r="D352" s="14">
        <v>198</v>
      </c>
      <c r="E352" s="14">
        <v>9</v>
      </c>
      <c r="F352" s="14">
        <v>206</v>
      </c>
      <c r="G352" s="14">
        <v>61</v>
      </c>
      <c r="H352" s="14">
        <v>285</v>
      </c>
      <c r="I352" s="14">
        <v>19</v>
      </c>
      <c r="J352" s="14">
        <v>321</v>
      </c>
      <c r="K352" s="14">
        <v>364</v>
      </c>
      <c r="L352" s="14">
        <v>314</v>
      </c>
      <c r="M352" s="14">
        <v>118</v>
      </c>
      <c r="N352" s="14">
        <v>209</v>
      </c>
    </row>
    <row r="353" spans="1:14" x14ac:dyDescent="0.3">
      <c r="A353" s="17">
        <v>2013</v>
      </c>
      <c r="B353" s="13">
        <v>2156</v>
      </c>
      <c r="C353" s="14">
        <v>1</v>
      </c>
      <c r="D353" s="14">
        <v>253</v>
      </c>
      <c r="E353" s="14">
        <v>5</v>
      </c>
      <c r="F353" s="14">
        <v>194</v>
      </c>
      <c r="G353" s="14">
        <v>70</v>
      </c>
      <c r="H353" s="14">
        <v>260</v>
      </c>
      <c r="I353" s="14">
        <v>19</v>
      </c>
      <c r="J353" s="14">
        <v>288</v>
      </c>
      <c r="K353" s="14">
        <v>355</v>
      </c>
      <c r="L353" s="14">
        <v>339</v>
      </c>
      <c r="M353" s="14">
        <v>111</v>
      </c>
      <c r="N353" s="14">
        <v>177</v>
      </c>
    </row>
    <row r="354" spans="1:14" x14ac:dyDescent="0.3">
      <c r="A354" s="17">
        <v>2014</v>
      </c>
      <c r="B354" s="13">
        <v>2117</v>
      </c>
      <c r="C354" s="14">
        <v>1</v>
      </c>
      <c r="D354" s="14">
        <v>151</v>
      </c>
      <c r="E354" s="14">
        <v>5</v>
      </c>
      <c r="F354" s="14">
        <v>209</v>
      </c>
      <c r="G354" s="14">
        <v>61</v>
      </c>
      <c r="H354" s="14">
        <v>248</v>
      </c>
      <c r="I354" s="14">
        <v>18</v>
      </c>
      <c r="J354" s="14">
        <v>318</v>
      </c>
      <c r="K354" s="14">
        <v>367</v>
      </c>
      <c r="L354" s="14">
        <v>365</v>
      </c>
      <c r="M354" s="14">
        <v>115</v>
      </c>
      <c r="N354" s="14">
        <v>181</v>
      </c>
    </row>
    <row r="355" spans="1:14" x14ac:dyDescent="0.3">
      <c r="A355" s="17">
        <v>2015</v>
      </c>
      <c r="B355" s="13">
        <v>2059</v>
      </c>
      <c r="C355" s="14">
        <v>1</v>
      </c>
      <c r="D355" s="14">
        <v>134</v>
      </c>
      <c r="E355" s="14">
        <v>4</v>
      </c>
      <c r="F355" s="14">
        <v>159</v>
      </c>
      <c r="G355" s="14">
        <v>65</v>
      </c>
      <c r="H355" s="14">
        <v>250</v>
      </c>
      <c r="I355" s="14">
        <v>18</v>
      </c>
      <c r="J355" s="14">
        <v>321</v>
      </c>
      <c r="K355" s="14">
        <v>369</v>
      </c>
      <c r="L355" s="14">
        <v>374</v>
      </c>
      <c r="M355" s="14">
        <v>98</v>
      </c>
      <c r="N355" s="14">
        <v>185</v>
      </c>
    </row>
    <row r="356" spans="1:14" x14ac:dyDescent="0.3">
      <c r="A356" s="17">
        <v>2016</v>
      </c>
      <c r="B356" s="13">
        <v>2152</v>
      </c>
      <c r="C356" s="14">
        <v>1</v>
      </c>
      <c r="D356" s="14">
        <v>114</v>
      </c>
      <c r="E356" s="14">
        <v>5</v>
      </c>
      <c r="F356" s="14">
        <v>161</v>
      </c>
      <c r="G356" s="14">
        <v>67</v>
      </c>
      <c r="H356" s="14">
        <v>294</v>
      </c>
      <c r="I356" s="14">
        <v>18</v>
      </c>
      <c r="J356" s="14">
        <v>320</v>
      </c>
      <c r="K356" s="14">
        <v>403</v>
      </c>
      <c r="L356" s="14">
        <v>412</v>
      </c>
      <c r="M356" s="14">
        <v>74</v>
      </c>
      <c r="N356" s="14">
        <v>200</v>
      </c>
    </row>
    <row r="357" spans="1:14" x14ac:dyDescent="0.3">
      <c r="A357" s="17">
        <v>2017</v>
      </c>
      <c r="B357" s="13">
        <v>2281</v>
      </c>
      <c r="C357" s="14">
        <v>2</v>
      </c>
      <c r="D357" s="14">
        <v>114</v>
      </c>
      <c r="E357" s="14">
        <v>0</v>
      </c>
      <c r="F357" s="14">
        <v>150</v>
      </c>
      <c r="G357" s="14">
        <v>72</v>
      </c>
      <c r="H357" s="14">
        <v>302</v>
      </c>
      <c r="I357" s="14">
        <v>10</v>
      </c>
      <c r="J357" s="14">
        <v>309</v>
      </c>
      <c r="K357" s="14">
        <v>491</v>
      </c>
      <c r="L357" s="14">
        <v>499</v>
      </c>
      <c r="M357" s="14">
        <v>58</v>
      </c>
      <c r="N357" s="14">
        <v>192</v>
      </c>
    </row>
    <row r="358" spans="1:14" x14ac:dyDescent="0.3">
      <c r="A358" s="17">
        <v>2018</v>
      </c>
      <c r="B358" s="13">
        <v>2360</v>
      </c>
      <c r="C358" s="14">
        <v>3</v>
      </c>
      <c r="D358" s="14">
        <v>116</v>
      </c>
      <c r="E358" s="14">
        <v>3</v>
      </c>
      <c r="F358" s="14">
        <v>194</v>
      </c>
      <c r="G358" s="14">
        <v>82</v>
      </c>
      <c r="H358" s="14">
        <v>320</v>
      </c>
      <c r="I358" s="14">
        <v>20</v>
      </c>
      <c r="J358" s="14">
        <v>290</v>
      </c>
      <c r="K358" s="14">
        <v>482</v>
      </c>
      <c r="L358" s="14">
        <v>539</v>
      </c>
      <c r="M358" s="14">
        <v>61</v>
      </c>
      <c r="N358" s="14">
        <v>179</v>
      </c>
    </row>
    <row r="359" spans="1:14" x14ac:dyDescent="0.3">
      <c r="A359" s="17">
        <v>2019</v>
      </c>
      <c r="B359" s="13">
        <v>2132</v>
      </c>
      <c r="C359" s="14">
        <v>8</v>
      </c>
      <c r="D359" s="14">
        <v>140</v>
      </c>
      <c r="E359" s="14">
        <v>3</v>
      </c>
      <c r="F359" s="14">
        <v>186</v>
      </c>
      <c r="G359" s="14">
        <v>59</v>
      </c>
      <c r="H359" s="14">
        <v>226</v>
      </c>
      <c r="I359" s="14">
        <v>18</v>
      </c>
      <c r="J359" s="14">
        <v>297</v>
      </c>
      <c r="K359" s="14">
        <v>355</v>
      </c>
      <c r="L359" s="14">
        <v>562</v>
      </c>
      <c r="M359" s="14">
        <v>53</v>
      </c>
      <c r="N359" s="14">
        <v>158</v>
      </c>
    </row>
    <row r="360" spans="1:14" x14ac:dyDescent="0.3">
      <c r="A360" s="17">
        <v>2020</v>
      </c>
      <c r="B360" s="13">
        <v>2129</v>
      </c>
      <c r="C360" s="14">
        <v>8</v>
      </c>
      <c r="D360" s="14">
        <v>128</v>
      </c>
      <c r="E360" s="14">
        <v>3</v>
      </c>
      <c r="F360" s="14">
        <v>133</v>
      </c>
      <c r="G360" s="14">
        <v>59</v>
      </c>
      <c r="H360" s="14">
        <v>224</v>
      </c>
      <c r="I360" s="14">
        <v>17</v>
      </c>
      <c r="J360" s="14">
        <v>310</v>
      </c>
      <c r="K360" s="14">
        <v>360</v>
      </c>
      <c r="L360" s="14">
        <v>580</v>
      </c>
      <c r="M360" s="14">
        <v>59</v>
      </c>
      <c r="N360" s="14">
        <v>164</v>
      </c>
    </row>
    <row r="361" spans="1:14" x14ac:dyDescent="0.3">
      <c r="A361" s="17">
        <v>2021</v>
      </c>
      <c r="B361" s="13">
        <v>2210</v>
      </c>
      <c r="C361" s="14">
        <v>10</v>
      </c>
      <c r="D361" s="14">
        <v>125</v>
      </c>
      <c r="E361" s="14">
        <v>3</v>
      </c>
      <c r="F361" s="14">
        <v>174</v>
      </c>
      <c r="G361" s="14">
        <v>57</v>
      </c>
      <c r="H361" s="14">
        <v>274</v>
      </c>
      <c r="I361" s="14">
        <v>16</v>
      </c>
      <c r="J361" s="14">
        <v>336</v>
      </c>
      <c r="K361" s="14">
        <v>382</v>
      </c>
      <c r="L361" s="14">
        <v>519</v>
      </c>
      <c r="M361" s="14">
        <v>74</v>
      </c>
      <c r="N361" s="14">
        <v>184</v>
      </c>
    </row>
    <row r="362" spans="1:14" x14ac:dyDescent="0.3">
      <c r="A362" s="17">
        <v>2022</v>
      </c>
      <c r="B362" s="13">
        <v>2089</v>
      </c>
      <c r="C362" s="14">
        <v>10</v>
      </c>
      <c r="D362" s="14">
        <v>95</v>
      </c>
      <c r="E362" s="14">
        <v>3</v>
      </c>
      <c r="F362" s="14">
        <v>142</v>
      </c>
      <c r="G362" s="14">
        <v>67</v>
      </c>
      <c r="H362" s="14">
        <v>247</v>
      </c>
      <c r="I362" s="14">
        <v>16</v>
      </c>
      <c r="J362" s="14">
        <v>308</v>
      </c>
      <c r="K362" s="14">
        <v>343</v>
      </c>
      <c r="L362" s="14">
        <v>569</v>
      </c>
      <c r="M362" s="14">
        <v>58</v>
      </c>
      <c r="N362" s="14">
        <v>166</v>
      </c>
    </row>
    <row r="363" spans="1:14" x14ac:dyDescent="0.3">
      <c r="A363" s="17">
        <v>2023</v>
      </c>
      <c r="B363" s="13">
        <v>1783</v>
      </c>
      <c r="C363" s="14">
        <v>9</v>
      </c>
      <c r="D363" s="14">
        <v>103</v>
      </c>
      <c r="E363" s="14">
        <v>4</v>
      </c>
      <c r="F363" s="14">
        <v>133</v>
      </c>
      <c r="G363" s="14">
        <v>46</v>
      </c>
      <c r="H363" s="14">
        <v>201</v>
      </c>
      <c r="I363" s="14">
        <v>14</v>
      </c>
      <c r="J363" s="14">
        <v>319</v>
      </c>
      <c r="K363" s="14">
        <v>258</v>
      </c>
      <c r="L363" s="14">
        <v>486</v>
      </c>
      <c r="M363" s="14">
        <v>35</v>
      </c>
      <c r="N363" s="14">
        <v>139</v>
      </c>
    </row>
    <row r="364" spans="1:14" x14ac:dyDescent="0.3">
      <c r="A364" s="17">
        <v>2024</v>
      </c>
      <c r="B364" s="13">
        <v>1656</v>
      </c>
      <c r="C364" s="14">
        <v>3</v>
      </c>
      <c r="D364" s="14">
        <v>97</v>
      </c>
      <c r="E364" s="14">
        <v>3</v>
      </c>
      <c r="F364" s="14">
        <v>121</v>
      </c>
      <c r="G364" s="14">
        <v>24</v>
      </c>
      <c r="H364" s="14">
        <v>185</v>
      </c>
      <c r="I364" s="14">
        <v>29</v>
      </c>
      <c r="J364" s="14">
        <v>297</v>
      </c>
      <c r="K364" s="14">
        <v>280</v>
      </c>
      <c r="L364" s="14">
        <v>430</v>
      </c>
      <c r="M364" s="14">
        <v>32</v>
      </c>
      <c r="N364" s="14">
        <v>128</v>
      </c>
    </row>
    <row r="366" spans="1:14" ht="18" customHeight="1" x14ac:dyDescent="0.3">
      <c r="A366" s="10" t="s">
        <v>285</v>
      </c>
    </row>
    <row r="367" spans="1:14" ht="19" customHeight="1" x14ac:dyDescent="0.3">
      <c r="A367" s="22" t="s">
        <v>73</v>
      </c>
      <c r="B367" s="28" t="s">
        <v>279</v>
      </c>
      <c r="C367" s="28" t="s">
        <v>278</v>
      </c>
      <c r="D367" s="28" t="s">
        <v>277</v>
      </c>
      <c r="E367" s="28" t="s">
        <v>276</v>
      </c>
      <c r="F367" s="28" t="s">
        <v>275</v>
      </c>
      <c r="G367" s="28" t="s">
        <v>274</v>
      </c>
      <c r="H367" s="28" t="s">
        <v>273</v>
      </c>
      <c r="I367" s="28" t="s">
        <v>272</v>
      </c>
      <c r="J367" s="28" t="s">
        <v>271</v>
      </c>
      <c r="K367" s="28" t="s">
        <v>270</v>
      </c>
      <c r="L367" s="28" t="s">
        <v>269</v>
      </c>
      <c r="M367" s="28" t="s">
        <v>268</v>
      </c>
    </row>
    <row r="368" spans="1:14" x14ac:dyDescent="0.3">
      <c r="A368" s="15" t="s">
        <v>241</v>
      </c>
      <c r="B368" s="27">
        <v>628565</v>
      </c>
      <c r="C368" s="27">
        <v>652950</v>
      </c>
      <c r="D368" s="27">
        <v>676596</v>
      </c>
      <c r="E368" s="27">
        <v>703151</v>
      </c>
      <c r="F368" s="27">
        <v>725944</v>
      </c>
      <c r="G368" s="27">
        <v>746464</v>
      </c>
      <c r="H368" s="27">
        <v>794926</v>
      </c>
      <c r="I368" s="27">
        <v>808689</v>
      </c>
      <c r="J368" s="27">
        <v>825936</v>
      </c>
      <c r="K368" s="27">
        <v>849294</v>
      </c>
      <c r="L368" s="27">
        <v>865773</v>
      </c>
      <c r="M368" s="27">
        <v>869666</v>
      </c>
    </row>
    <row r="369" spans="1:13" x14ac:dyDescent="0.3">
      <c r="A369" s="23" t="s">
        <v>282</v>
      </c>
      <c r="B369" s="18">
        <v>708</v>
      </c>
      <c r="C369" s="18">
        <v>1067</v>
      </c>
      <c r="D369" s="18">
        <v>1116</v>
      </c>
      <c r="E369" s="18">
        <v>1156</v>
      </c>
      <c r="F369" s="18">
        <v>1191</v>
      </c>
      <c r="G369" s="18">
        <v>1254</v>
      </c>
      <c r="H369" s="18">
        <v>1382</v>
      </c>
      <c r="I369" s="18">
        <v>1773</v>
      </c>
      <c r="J369" s="18">
        <v>2456</v>
      </c>
      <c r="K369" s="18">
        <v>3461</v>
      </c>
      <c r="L369" s="18">
        <v>5796</v>
      </c>
      <c r="M369" s="18">
        <v>8111</v>
      </c>
    </row>
    <row r="370" spans="1:13" x14ac:dyDescent="0.3">
      <c r="A370" s="23" t="s">
        <v>281</v>
      </c>
      <c r="B370" s="18">
        <v>1431</v>
      </c>
      <c r="C370" s="18">
        <v>1902</v>
      </c>
      <c r="D370" s="18">
        <v>2426</v>
      </c>
      <c r="E370" s="18">
        <v>3402</v>
      </c>
      <c r="F370" s="18">
        <v>4690</v>
      </c>
      <c r="G370" s="18">
        <v>6344</v>
      </c>
      <c r="H370" s="18">
        <v>9397</v>
      </c>
      <c r="I370" s="18">
        <v>12683</v>
      </c>
      <c r="J370" s="18">
        <v>19953</v>
      </c>
      <c r="K370" s="18">
        <v>28474</v>
      </c>
      <c r="L370" s="18">
        <v>39216</v>
      </c>
      <c r="M370" s="18">
        <v>55058</v>
      </c>
    </row>
    <row r="371" spans="1:13" x14ac:dyDescent="0.3">
      <c r="A371" s="9" t="s">
        <v>265</v>
      </c>
    </row>
    <row r="373" spans="1:13" ht="18" customHeight="1" x14ac:dyDescent="0.3">
      <c r="A373" s="10" t="s">
        <v>284</v>
      </c>
    </row>
    <row r="374" spans="1:13" ht="19" customHeight="1" x14ac:dyDescent="0.3">
      <c r="A374" s="22" t="s">
        <v>73</v>
      </c>
      <c r="B374" s="11" t="s">
        <v>279</v>
      </c>
      <c r="C374" s="11" t="s">
        <v>278</v>
      </c>
      <c r="D374" s="11" t="s">
        <v>277</v>
      </c>
      <c r="E374" s="11" t="s">
        <v>276</v>
      </c>
      <c r="F374" s="11" t="s">
        <v>275</v>
      </c>
      <c r="G374" s="11" t="s">
        <v>274</v>
      </c>
      <c r="H374" s="11" t="s">
        <v>273</v>
      </c>
      <c r="I374" s="11" t="s">
        <v>272</v>
      </c>
      <c r="J374" s="11" t="s">
        <v>271</v>
      </c>
      <c r="K374" s="11" t="s">
        <v>270</v>
      </c>
      <c r="L374" s="11" t="s">
        <v>269</v>
      </c>
      <c r="M374" s="11" t="s">
        <v>268</v>
      </c>
    </row>
    <row r="375" spans="1:13" x14ac:dyDescent="0.3">
      <c r="A375" s="29" t="s">
        <v>267</v>
      </c>
      <c r="B375" s="20">
        <f t="shared" ref="B375:M375" si="16">B369/B368</f>
        <v>1.1263751561095511E-3</v>
      </c>
      <c r="C375" s="20">
        <f t="shared" si="16"/>
        <v>1.6341220614135845E-3</v>
      </c>
      <c r="D375" s="20">
        <f t="shared" si="16"/>
        <v>1.6494333398364754E-3</v>
      </c>
      <c r="E375" s="20">
        <f t="shared" si="16"/>
        <v>1.6440280963832803E-3</v>
      </c>
      <c r="F375" s="20">
        <f t="shared" si="16"/>
        <v>1.6406224171561443E-3</v>
      </c>
      <c r="G375" s="20">
        <f t="shared" si="16"/>
        <v>1.6799202640716765E-3</v>
      </c>
      <c r="H375" s="20">
        <f t="shared" si="16"/>
        <v>1.7385266049921627E-3</v>
      </c>
      <c r="I375" s="20">
        <f t="shared" si="16"/>
        <v>2.1924373894043323E-3</v>
      </c>
      <c r="J375" s="20">
        <f t="shared" si="16"/>
        <v>2.9735960171248135E-3</v>
      </c>
      <c r="K375" s="20">
        <f t="shared" si="16"/>
        <v>4.0751494770950927E-3</v>
      </c>
      <c r="L375" s="20">
        <f t="shared" si="16"/>
        <v>6.6945954655550591E-3</v>
      </c>
      <c r="M375" s="20">
        <f t="shared" si="16"/>
        <v>9.3265690506470298E-3</v>
      </c>
    </row>
    <row r="376" spans="1:13" ht="26" x14ac:dyDescent="0.3">
      <c r="A376" s="30" t="s">
        <v>266</v>
      </c>
      <c r="B376" s="20">
        <f t="shared" ref="B376:M376" si="17">B370/B368</f>
        <v>2.2766141926451522E-3</v>
      </c>
      <c r="C376" s="20">
        <f t="shared" si="17"/>
        <v>2.9129336090052836E-3</v>
      </c>
      <c r="D376" s="20">
        <f t="shared" si="17"/>
        <v>3.5855961312215856E-3</v>
      </c>
      <c r="E376" s="20">
        <f t="shared" si="17"/>
        <v>4.8382210933355712E-3</v>
      </c>
      <c r="F376" s="20">
        <f t="shared" si="17"/>
        <v>6.4605534311186538E-3</v>
      </c>
      <c r="G376" s="20">
        <f t="shared" si="17"/>
        <v>8.4987353710292788E-3</v>
      </c>
      <c r="H376" s="20">
        <f t="shared" si="17"/>
        <v>1.1821226126708649E-2</v>
      </c>
      <c r="I376" s="20">
        <f t="shared" si="17"/>
        <v>1.5683408578575943E-2</v>
      </c>
      <c r="J376" s="20">
        <f t="shared" si="17"/>
        <v>2.415804614401116E-2</v>
      </c>
      <c r="K376" s="20">
        <f t="shared" si="17"/>
        <v>3.3526670387404124E-2</v>
      </c>
      <c r="L376" s="20">
        <f t="shared" si="17"/>
        <v>4.5295937849759695E-2</v>
      </c>
      <c r="M376" s="20">
        <f t="shared" si="17"/>
        <v>6.3309362444892631E-2</v>
      </c>
    </row>
    <row r="377" spans="1:13" x14ac:dyDescent="0.3">
      <c r="A377" s="9" t="s">
        <v>265</v>
      </c>
    </row>
    <row r="379" spans="1:13" ht="18" customHeight="1" x14ac:dyDescent="0.3">
      <c r="A379" s="10" t="s">
        <v>283</v>
      </c>
    </row>
    <row r="380" spans="1:13" ht="19" customHeight="1" x14ac:dyDescent="0.3">
      <c r="A380" s="22" t="s">
        <v>73</v>
      </c>
      <c r="B380" s="28" t="s">
        <v>279</v>
      </c>
      <c r="C380" s="28" t="s">
        <v>278</v>
      </c>
      <c r="D380" s="28" t="s">
        <v>277</v>
      </c>
      <c r="E380" s="28" t="s">
        <v>276</v>
      </c>
      <c r="F380" s="28" t="s">
        <v>275</v>
      </c>
      <c r="G380" s="28" t="s">
        <v>274</v>
      </c>
      <c r="H380" s="28" t="s">
        <v>273</v>
      </c>
      <c r="I380" s="28" t="s">
        <v>272</v>
      </c>
      <c r="J380" s="28" t="s">
        <v>271</v>
      </c>
      <c r="K380" s="28" t="s">
        <v>270</v>
      </c>
      <c r="L380" s="28" t="s">
        <v>269</v>
      </c>
      <c r="M380" s="28" t="s">
        <v>268</v>
      </c>
    </row>
    <row r="381" spans="1:13" ht="15" customHeight="1" x14ac:dyDescent="0.3">
      <c r="A381" s="15" t="s">
        <v>241</v>
      </c>
      <c r="B381" s="27">
        <v>19690</v>
      </c>
      <c r="C381" s="27">
        <v>21128</v>
      </c>
      <c r="D381" s="27">
        <v>21064</v>
      </c>
      <c r="E381" s="27">
        <v>23020</v>
      </c>
      <c r="F381" s="27">
        <v>25621</v>
      </c>
      <c r="G381" s="27">
        <v>26299</v>
      </c>
      <c r="H381" s="27">
        <v>27579</v>
      </c>
      <c r="I381" s="27">
        <v>19295</v>
      </c>
      <c r="J381" s="27">
        <v>22610</v>
      </c>
      <c r="K381" s="27">
        <v>20558</v>
      </c>
      <c r="L381" s="27">
        <v>22986</v>
      </c>
      <c r="M381" s="27">
        <v>25744</v>
      </c>
    </row>
    <row r="382" spans="1:13" ht="15" customHeight="1" x14ac:dyDescent="0.3">
      <c r="A382" s="23" t="s">
        <v>282</v>
      </c>
      <c r="B382" s="18">
        <v>130</v>
      </c>
      <c r="C382" s="18">
        <v>331</v>
      </c>
      <c r="D382" s="18">
        <v>30</v>
      </c>
      <c r="E382" s="18">
        <v>32</v>
      </c>
      <c r="F382" s="18">
        <v>26</v>
      </c>
      <c r="G382" s="18">
        <v>83</v>
      </c>
      <c r="H382" s="18">
        <v>77</v>
      </c>
      <c r="I382" s="18">
        <v>344</v>
      </c>
      <c r="J382" s="18">
        <v>487</v>
      </c>
      <c r="K382" s="18">
        <v>693</v>
      </c>
      <c r="L382" s="18">
        <v>1448</v>
      </c>
      <c r="M382" s="18">
        <v>1323</v>
      </c>
    </row>
    <row r="383" spans="1:13" ht="15" customHeight="1" x14ac:dyDescent="0.3">
      <c r="A383" s="23" t="s">
        <v>281</v>
      </c>
      <c r="B383" s="18">
        <v>195</v>
      </c>
      <c r="C383" s="18">
        <v>311</v>
      </c>
      <c r="D383" s="18">
        <v>351</v>
      </c>
      <c r="E383" s="18">
        <v>772</v>
      </c>
      <c r="F383" s="18">
        <v>1187</v>
      </c>
      <c r="G383" s="18">
        <v>1585</v>
      </c>
      <c r="H383" s="18">
        <v>2816</v>
      </c>
      <c r="I383" s="18">
        <v>2842</v>
      </c>
      <c r="J383" s="18">
        <v>6589</v>
      </c>
      <c r="K383" s="18">
        <v>7215</v>
      </c>
      <c r="L383" s="18">
        <v>9690</v>
      </c>
      <c r="M383" s="18">
        <v>12983</v>
      </c>
    </row>
    <row r="384" spans="1:13" ht="15" customHeight="1" x14ac:dyDescent="0.3">
      <c r="A384" s="9" t="s">
        <v>265</v>
      </c>
    </row>
    <row r="385" spans="1:15" ht="15" customHeight="1" x14ac:dyDescent="0.3"/>
    <row r="386" spans="1:15" ht="18" customHeight="1" x14ac:dyDescent="0.3">
      <c r="A386" s="10" t="s">
        <v>280</v>
      </c>
    </row>
    <row r="387" spans="1:15" ht="19" customHeight="1" x14ac:dyDescent="0.3">
      <c r="A387" s="22" t="s">
        <v>73</v>
      </c>
      <c r="B387" s="11" t="s">
        <v>279</v>
      </c>
      <c r="C387" s="11" t="s">
        <v>278</v>
      </c>
      <c r="D387" s="11" t="s">
        <v>277</v>
      </c>
      <c r="E387" s="11" t="s">
        <v>276</v>
      </c>
      <c r="F387" s="11" t="s">
        <v>275</v>
      </c>
      <c r="G387" s="11" t="s">
        <v>274</v>
      </c>
      <c r="H387" s="11" t="s">
        <v>273</v>
      </c>
      <c r="I387" s="11" t="s">
        <v>272</v>
      </c>
      <c r="J387" s="11" t="s">
        <v>271</v>
      </c>
      <c r="K387" s="11" t="s">
        <v>270</v>
      </c>
      <c r="L387" s="11" t="s">
        <v>269</v>
      </c>
      <c r="M387" s="11" t="s">
        <v>268</v>
      </c>
    </row>
    <row r="388" spans="1:15" ht="15" customHeight="1" x14ac:dyDescent="0.3">
      <c r="A388" s="29" t="s">
        <v>267</v>
      </c>
      <c r="B388" s="20">
        <f t="shared" ref="B388:M388" si="18">B382/B381</f>
        <v>6.6023362112747584E-3</v>
      </c>
      <c r="C388" s="20">
        <f t="shared" si="18"/>
        <v>1.5666414237031426E-2</v>
      </c>
      <c r="D388" s="20">
        <f t="shared" si="18"/>
        <v>1.4242309153057349E-3</v>
      </c>
      <c r="E388" s="20">
        <f t="shared" si="18"/>
        <v>1.3900955690703736E-3</v>
      </c>
      <c r="F388" s="20">
        <f t="shared" si="18"/>
        <v>1.0147925529838805E-3</v>
      </c>
      <c r="G388" s="20">
        <f t="shared" si="18"/>
        <v>3.1560135366363738E-3</v>
      </c>
      <c r="H388" s="20">
        <f t="shared" si="18"/>
        <v>2.7919794046194569E-3</v>
      </c>
      <c r="I388" s="20">
        <f t="shared" si="18"/>
        <v>1.782845296708992E-2</v>
      </c>
      <c r="J388" s="20">
        <f t="shared" si="18"/>
        <v>2.1539141972578505E-2</v>
      </c>
      <c r="K388" s="20">
        <f t="shared" si="18"/>
        <v>3.3709504815643547E-2</v>
      </c>
      <c r="L388" s="20">
        <f t="shared" si="18"/>
        <v>6.2994866440442013E-2</v>
      </c>
      <c r="M388" s="20">
        <f t="shared" si="18"/>
        <v>5.1390615288999381E-2</v>
      </c>
    </row>
    <row r="389" spans="1:15" ht="15" customHeight="1" x14ac:dyDescent="0.3">
      <c r="A389" s="30" t="s">
        <v>266</v>
      </c>
      <c r="B389" s="20">
        <f t="shared" ref="B389:M389" si="19">B383/B381</f>
        <v>9.9035043169121376E-3</v>
      </c>
      <c r="C389" s="20">
        <f t="shared" si="19"/>
        <v>1.4719803104884513E-2</v>
      </c>
      <c r="D389" s="20">
        <f t="shared" si="19"/>
        <v>1.66635017090771E-2</v>
      </c>
      <c r="E389" s="20">
        <f t="shared" si="19"/>
        <v>3.3536055603822765E-2</v>
      </c>
      <c r="F389" s="20">
        <f t="shared" si="19"/>
        <v>4.6329183091994845E-2</v>
      </c>
      <c r="G389" s="20">
        <f t="shared" si="19"/>
        <v>6.026845127191148E-2</v>
      </c>
      <c r="H389" s="20">
        <f t="shared" si="19"/>
        <v>0.10210667536894014</v>
      </c>
      <c r="I389" s="20">
        <f t="shared" si="19"/>
        <v>0.14729204457113243</v>
      </c>
      <c r="J389" s="20">
        <f t="shared" si="19"/>
        <v>0.29141972578505088</v>
      </c>
      <c r="K389" s="20">
        <f t="shared" si="19"/>
        <v>0.35095826442260919</v>
      </c>
      <c r="L389" s="20">
        <f t="shared" si="19"/>
        <v>0.42156095014356565</v>
      </c>
      <c r="M389" s="20">
        <f t="shared" si="19"/>
        <v>0.50431168427594775</v>
      </c>
    </row>
    <row r="390" spans="1:15" ht="15" customHeight="1" x14ac:dyDescent="0.3">
      <c r="A390" s="9" t="s">
        <v>265</v>
      </c>
    </row>
    <row r="391" spans="1:15" ht="15" customHeight="1" x14ac:dyDescent="0.3"/>
    <row r="392" spans="1:15" ht="18" customHeight="1" x14ac:dyDescent="0.3">
      <c r="A392" s="10" t="s">
        <v>264</v>
      </c>
    </row>
    <row r="393" spans="1:15" ht="45" customHeight="1" x14ac:dyDescent="0.3">
      <c r="A393" s="11" t="s">
        <v>73</v>
      </c>
      <c r="B393" s="11" t="s">
        <v>263</v>
      </c>
      <c r="C393" s="11" t="s">
        <v>262</v>
      </c>
      <c r="D393" s="11" t="s">
        <v>261</v>
      </c>
      <c r="E393" s="11" t="s">
        <v>260</v>
      </c>
      <c r="F393" s="11" t="s">
        <v>259</v>
      </c>
      <c r="G393" s="11" t="s">
        <v>258</v>
      </c>
      <c r="H393" s="11" t="s">
        <v>257</v>
      </c>
      <c r="I393" s="11" t="s">
        <v>256</v>
      </c>
      <c r="J393" s="11" t="s">
        <v>255</v>
      </c>
      <c r="K393" s="11" t="s">
        <v>254</v>
      </c>
      <c r="M393" s="11" t="s">
        <v>240</v>
      </c>
      <c r="N393" s="11" t="s">
        <v>239</v>
      </c>
    </row>
    <row r="394" spans="1:15" x14ac:dyDescent="0.3">
      <c r="A394" s="17">
        <v>2022</v>
      </c>
      <c r="B394" s="13">
        <v>6145</v>
      </c>
      <c r="C394" s="14">
        <v>0</v>
      </c>
      <c r="D394" s="14">
        <v>555</v>
      </c>
      <c r="E394" s="14">
        <v>273</v>
      </c>
      <c r="F394" s="14">
        <v>30</v>
      </c>
      <c r="G394" s="14">
        <v>11</v>
      </c>
      <c r="H394" s="14">
        <v>53</v>
      </c>
      <c r="I394" s="14">
        <v>540</v>
      </c>
      <c r="J394" s="14">
        <v>0</v>
      </c>
      <c r="K394" s="13">
        <f>SUM(B394:J394)</f>
        <v>7607</v>
      </c>
      <c r="M394" s="14">
        <f>F394+G394+H394+I394+J394</f>
        <v>634</v>
      </c>
      <c r="N394" s="20">
        <f>M394/K394</f>
        <v>8.334428815564611E-2</v>
      </c>
    </row>
    <row r="395" spans="1:15" x14ac:dyDescent="0.3">
      <c r="A395" s="9" t="s">
        <v>235</v>
      </c>
    </row>
    <row r="397" spans="1:15" ht="18" customHeight="1" x14ac:dyDescent="0.3">
      <c r="A397" s="10" t="s">
        <v>253</v>
      </c>
    </row>
    <row r="398" spans="1:15" ht="45" customHeight="1" x14ac:dyDescent="0.3">
      <c r="A398" s="22" t="s">
        <v>252</v>
      </c>
      <c r="B398" s="11" t="s">
        <v>251</v>
      </c>
      <c r="C398" s="11" t="s">
        <v>250</v>
      </c>
      <c r="D398" s="11" t="s">
        <v>249</v>
      </c>
      <c r="E398" s="11" t="s">
        <v>248</v>
      </c>
      <c r="F398" s="11" t="s">
        <v>247</v>
      </c>
      <c r="G398" s="22" t="s">
        <v>246</v>
      </c>
      <c r="H398" s="11" t="s">
        <v>245</v>
      </c>
      <c r="I398" s="11" t="s">
        <v>244</v>
      </c>
      <c r="J398" s="11" t="s">
        <v>243</v>
      </c>
      <c r="K398" s="22" t="s">
        <v>242</v>
      </c>
      <c r="L398" s="11" t="s">
        <v>241</v>
      </c>
      <c r="N398" s="11" t="s">
        <v>240</v>
      </c>
      <c r="O398" s="11" t="s">
        <v>239</v>
      </c>
    </row>
    <row r="399" spans="1:15" ht="18" customHeight="1" x14ac:dyDescent="0.3">
      <c r="A399" s="31" t="s">
        <v>238</v>
      </c>
      <c r="B399" s="14">
        <v>350</v>
      </c>
      <c r="C399" s="14">
        <v>120</v>
      </c>
      <c r="D399" s="14">
        <v>80</v>
      </c>
      <c r="E399" s="14">
        <v>300</v>
      </c>
      <c r="F399" s="14">
        <v>700</v>
      </c>
      <c r="G399" s="31" t="s">
        <v>237</v>
      </c>
      <c r="H399" s="14">
        <v>600</v>
      </c>
      <c r="I399" s="14">
        <v>0</v>
      </c>
      <c r="J399" s="14">
        <v>0</v>
      </c>
      <c r="K399" s="31" t="s">
        <v>236</v>
      </c>
      <c r="L399" s="13">
        <f>SUM(B399:K399)</f>
        <v>2150</v>
      </c>
      <c r="N399" s="14">
        <f>H399+I399+J399</f>
        <v>600</v>
      </c>
      <c r="O399" s="20">
        <f>N399/L399</f>
        <v>0.27906976744186046</v>
      </c>
    </row>
    <row r="400" spans="1:15" x14ac:dyDescent="0.3">
      <c r="A400" s="9" t="s">
        <v>235</v>
      </c>
    </row>
  </sheetData>
  <sheetProtection algorithmName="SHA-512" hashValue="+5L4iH0x4OQOM5SD/WZDM6qAl0Y8s8GlO/nGiAShkdbNgjcuHgTVFy5D9QSbgKrVt1b5O8ikPEqzqOdNSY1LKQ==" saltValue="d8WfwQRkobnxGHk/OgkXsA==" spinCount="100000" sheet="1" objects="1" scenarios="1"/>
  <mergeCells count="4">
    <mergeCell ref="A101:A102"/>
    <mergeCell ref="A289:D289"/>
    <mergeCell ref="I291:J291"/>
    <mergeCell ref="A217:D217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8B55B-5803-4401-A627-25E472522CEE}">
  <sheetPr>
    <tabColor rgb="FF9FBFAE"/>
  </sheetPr>
  <dimension ref="A1:HU377"/>
  <sheetViews>
    <sheetView showGridLines="0" zoomScale="80" zoomScaleNormal="80" workbookViewId="0">
      <selection activeCell="I2" sqref="I2"/>
    </sheetView>
  </sheetViews>
  <sheetFormatPr defaultColWidth="9.1796875" defaultRowHeight="13" x14ac:dyDescent="0.3"/>
  <cols>
    <col min="1" max="1" width="14.81640625" style="7" customWidth="1"/>
    <col min="2" max="3" width="10" style="7" customWidth="1"/>
    <col min="4" max="7" width="9.1796875" style="7"/>
    <col min="8" max="8" width="8.81640625" style="7" customWidth="1"/>
    <col min="9" max="9" width="9.81640625" style="7" customWidth="1"/>
    <col min="10" max="16" width="9.1796875" style="7"/>
    <col min="17" max="17" width="10.1796875" style="7" customWidth="1"/>
    <col min="18" max="18" width="10.81640625" style="7" customWidth="1"/>
    <col min="19" max="33" width="9.1796875" style="7"/>
    <col min="34" max="34" width="9.7265625" style="7" customWidth="1"/>
    <col min="35" max="45" width="9.1796875" style="7"/>
    <col min="46" max="46" width="9.7265625" style="7" customWidth="1"/>
    <col min="47" max="57" width="9.1796875" style="7"/>
    <col min="58" max="58" width="9.7265625" style="7" customWidth="1"/>
    <col min="59" max="69" width="9.1796875" style="7"/>
    <col min="70" max="70" width="9.7265625" style="7" customWidth="1"/>
    <col min="71" max="81" width="9.1796875" style="7"/>
    <col min="82" max="82" width="9.7265625" style="7" customWidth="1"/>
    <col min="83" max="93" width="9.1796875" style="7"/>
    <col min="94" max="94" width="9.7265625" style="7" customWidth="1"/>
    <col min="95" max="105" width="9.1796875" style="7"/>
    <col min="106" max="106" width="9.7265625" style="7" customWidth="1"/>
    <col min="107" max="117" width="9.1796875" style="7"/>
    <col min="118" max="118" width="9.7265625" style="7" customWidth="1"/>
    <col min="119" max="129" width="9.1796875" style="7"/>
    <col min="130" max="130" width="9.7265625" style="7" customWidth="1"/>
    <col min="131" max="141" width="9.1796875" style="7"/>
    <col min="142" max="142" width="9.7265625" style="7" customWidth="1"/>
    <col min="143" max="153" width="9.1796875" style="7"/>
    <col min="154" max="154" width="9.7265625" style="7" customWidth="1"/>
    <col min="155" max="165" width="9.1796875" style="7"/>
    <col min="166" max="166" width="9.7265625" style="7" customWidth="1"/>
    <col min="167" max="177" width="9.1796875" style="7"/>
    <col min="178" max="178" width="9.7265625" style="7" customWidth="1"/>
    <col min="179" max="189" width="9.1796875" style="7"/>
    <col min="190" max="190" width="9.7265625" style="7" customWidth="1"/>
    <col min="191" max="201" width="9.1796875" style="7"/>
    <col min="202" max="202" width="9.7265625" style="7" customWidth="1"/>
    <col min="203" max="213" width="9.1796875" style="7"/>
    <col min="214" max="214" width="9.7265625" style="7" customWidth="1"/>
    <col min="215" max="225" width="9.1796875" style="7"/>
    <col min="226" max="226" width="9.7265625" style="7" customWidth="1"/>
    <col min="227" max="237" width="9.1796875" style="7"/>
    <col min="238" max="238" width="12.1796875" style="7" customWidth="1"/>
    <col min="239" max="16384" width="9.1796875" style="7"/>
  </cols>
  <sheetData>
    <row r="1" spans="1:20" ht="24" customHeight="1" thickBot="1" x14ac:dyDescent="0.35">
      <c r="A1" s="8" t="s">
        <v>624</v>
      </c>
    </row>
    <row r="2" spans="1:20" ht="13.5" thickTop="1" x14ac:dyDescent="0.3">
      <c r="A2" s="9" t="s">
        <v>657</v>
      </c>
    </row>
    <row r="3" spans="1:20" x14ac:dyDescent="0.3">
      <c r="A3" s="9" t="s">
        <v>622</v>
      </c>
    </row>
    <row r="4" spans="1:20" x14ac:dyDescent="0.3">
      <c r="A4" s="9" t="s">
        <v>656</v>
      </c>
    </row>
    <row r="6" spans="1:20" x14ac:dyDescent="0.3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</row>
    <row r="9" spans="1:20" ht="14.5" x14ac:dyDescent="0.3">
      <c r="B9" s="10" t="s">
        <v>655</v>
      </c>
      <c r="H9" s="9" t="s">
        <v>654</v>
      </c>
      <c r="L9" s="10" t="s">
        <v>366</v>
      </c>
      <c r="R9" s="9" t="s">
        <v>651</v>
      </c>
    </row>
    <row r="25" spans="2:19" ht="14.5" x14ac:dyDescent="0.3">
      <c r="B25" s="10" t="s">
        <v>363</v>
      </c>
      <c r="H25" s="9" t="s">
        <v>651</v>
      </c>
      <c r="M25" s="10" t="s">
        <v>343</v>
      </c>
      <c r="S25" s="9" t="s">
        <v>651</v>
      </c>
    </row>
    <row r="46" spans="2:17" ht="14.5" x14ac:dyDescent="0.3">
      <c r="B46" s="10" t="s">
        <v>619</v>
      </c>
      <c r="I46" s="9" t="s">
        <v>652</v>
      </c>
      <c r="L46" s="10" t="s">
        <v>618</v>
      </c>
      <c r="Q46" s="9" t="s">
        <v>653</v>
      </c>
    </row>
    <row r="64" spans="2:18" ht="14.5" x14ac:dyDescent="0.3">
      <c r="B64" s="10" t="s">
        <v>616</v>
      </c>
      <c r="H64" s="9" t="s">
        <v>652</v>
      </c>
      <c r="M64" s="10" t="s">
        <v>614</v>
      </c>
      <c r="R64" s="9" t="s">
        <v>652</v>
      </c>
    </row>
    <row r="81" spans="2:17" ht="14.5" x14ac:dyDescent="0.3">
      <c r="B81" s="10" t="s">
        <v>612</v>
      </c>
      <c r="G81" s="9" t="s">
        <v>651</v>
      </c>
      <c r="M81" s="10" t="s">
        <v>611</v>
      </c>
      <c r="Q81" s="9" t="s">
        <v>650</v>
      </c>
    </row>
    <row r="100" spans="1:229" ht="18" customHeight="1" x14ac:dyDescent="0.3">
      <c r="A100" s="10" t="s">
        <v>609</v>
      </c>
    </row>
    <row r="101" spans="1:229" ht="32" customHeight="1" x14ac:dyDescent="0.3">
      <c r="A101" s="77" t="s">
        <v>649</v>
      </c>
      <c r="B101" s="11" t="s">
        <v>595</v>
      </c>
      <c r="C101" s="11" t="s">
        <v>594</v>
      </c>
      <c r="D101" s="11" t="s">
        <v>593</v>
      </c>
      <c r="E101" s="11" t="s">
        <v>592</v>
      </c>
      <c r="F101" s="11" t="s">
        <v>591</v>
      </c>
      <c r="G101" s="11" t="s">
        <v>590</v>
      </c>
      <c r="H101" s="11" t="s">
        <v>589</v>
      </c>
      <c r="I101" s="11" t="s">
        <v>588</v>
      </c>
      <c r="J101" s="11" t="s">
        <v>587</v>
      </c>
      <c r="K101" s="11" t="s">
        <v>586</v>
      </c>
      <c r="L101" s="11" t="s">
        <v>585</v>
      </c>
      <c r="M101" s="11" t="s">
        <v>584</v>
      </c>
      <c r="N101" s="11" t="s">
        <v>583</v>
      </c>
      <c r="O101" s="11" t="s">
        <v>582</v>
      </c>
      <c r="P101" s="11" t="s">
        <v>581</v>
      </c>
      <c r="Q101" s="11" t="s">
        <v>580</v>
      </c>
      <c r="R101" s="11" t="s">
        <v>579</v>
      </c>
      <c r="S101" s="11" t="s">
        <v>578</v>
      </c>
      <c r="T101" s="11" t="s">
        <v>577</v>
      </c>
      <c r="U101" s="11" t="s">
        <v>576</v>
      </c>
      <c r="V101" s="11" t="s">
        <v>575</v>
      </c>
      <c r="W101" s="11" t="s">
        <v>574</v>
      </c>
      <c r="X101" s="11" t="s">
        <v>573</v>
      </c>
      <c r="Y101" s="11" t="s">
        <v>572</v>
      </c>
      <c r="Z101" s="11" t="s">
        <v>571</v>
      </c>
      <c r="AA101" s="11" t="s">
        <v>570</v>
      </c>
      <c r="AB101" s="11" t="s">
        <v>569</v>
      </c>
      <c r="AC101" s="11" t="s">
        <v>568</v>
      </c>
      <c r="AD101" s="11" t="s">
        <v>567</v>
      </c>
      <c r="AE101" s="11" t="s">
        <v>566</v>
      </c>
      <c r="AF101" s="11" t="s">
        <v>565</v>
      </c>
      <c r="AG101" s="11" t="s">
        <v>564</v>
      </c>
      <c r="AH101" s="11" t="s">
        <v>563</v>
      </c>
      <c r="AI101" s="11" t="s">
        <v>562</v>
      </c>
      <c r="AJ101" s="11" t="s">
        <v>561</v>
      </c>
      <c r="AK101" s="11" t="s">
        <v>560</v>
      </c>
      <c r="AL101" s="11" t="s">
        <v>559</v>
      </c>
      <c r="AM101" s="11" t="s">
        <v>558</v>
      </c>
      <c r="AN101" s="11" t="s">
        <v>557</v>
      </c>
      <c r="AO101" s="11" t="s">
        <v>556</v>
      </c>
      <c r="AP101" s="11" t="s">
        <v>555</v>
      </c>
      <c r="AQ101" s="11" t="s">
        <v>554</v>
      </c>
      <c r="AR101" s="11" t="s">
        <v>553</v>
      </c>
      <c r="AS101" s="11" t="s">
        <v>552</v>
      </c>
      <c r="AT101" s="11" t="s">
        <v>551</v>
      </c>
      <c r="AU101" s="11" t="s">
        <v>550</v>
      </c>
      <c r="AV101" s="11" t="s">
        <v>549</v>
      </c>
      <c r="AW101" s="11" t="s">
        <v>548</v>
      </c>
      <c r="AX101" s="11" t="s">
        <v>547</v>
      </c>
      <c r="AY101" s="11" t="s">
        <v>546</v>
      </c>
      <c r="AZ101" s="11" t="s">
        <v>545</v>
      </c>
      <c r="BA101" s="11" t="s">
        <v>544</v>
      </c>
      <c r="BB101" s="11" t="s">
        <v>543</v>
      </c>
      <c r="BC101" s="11" t="s">
        <v>542</v>
      </c>
      <c r="BD101" s="11" t="s">
        <v>541</v>
      </c>
      <c r="BE101" s="11" t="s">
        <v>540</v>
      </c>
      <c r="BF101" s="11" t="s">
        <v>539</v>
      </c>
      <c r="BG101" s="11" t="s">
        <v>538</v>
      </c>
      <c r="BH101" s="11" t="s">
        <v>537</v>
      </c>
      <c r="BI101" s="11" t="s">
        <v>536</v>
      </c>
      <c r="BJ101" s="11" t="s">
        <v>535</v>
      </c>
      <c r="BK101" s="11" t="s">
        <v>534</v>
      </c>
      <c r="BL101" s="11" t="s">
        <v>533</v>
      </c>
      <c r="BM101" s="11" t="s">
        <v>532</v>
      </c>
      <c r="BN101" s="11" t="s">
        <v>531</v>
      </c>
      <c r="BO101" s="11" t="s">
        <v>530</v>
      </c>
      <c r="BP101" s="11" t="s">
        <v>529</v>
      </c>
      <c r="BQ101" s="11" t="s">
        <v>528</v>
      </c>
      <c r="BR101" s="11" t="s">
        <v>527</v>
      </c>
      <c r="BS101" s="11" t="s">
        <v>526</v>
      </c>
      <c r="BT101" s="11" t="s">
        <v>525</v>
      </c>
      <c r="BU101" s="11" t="s">
        <v>524</v>
      </c>
      <c r="BV101" s="11" t="s">
        <v>523</v>
      </c>
      <c r="BW101" s="11" t="s">
        <v>522</v>
      </c>
      <c r="BX101" s="11" t="s">
        <v>521</v>
      </c>
      <c r="BY101" s="11" t="s">
        <v>520</v>
      </c>
      <c r="BZ101" s="11" t="s">
        <v>519</v>
      </c>
      <c r="CA101" s="11" t="s">
        <v>518</v>
      </c>
      <c r="CB101" s="11" t="s">
        <v>517</v>
      </c>
      <c r="CC101" s="11" t="s">
        <v>516</v>
      </c>
      <c r="CD101" s="11" t="s">
        <v>515</v>
      </c>
      <c r="CE101" s="11" t="s">
        <v>514</v>
      </c>
      <c r="CF101" s="11" t="s">
        <v>513</v>
      </c>
      <c r="CG101" s="11" t="s">
        <v>512</v>
      </c>
      <c r="CH101" s="11" t="s">
        <v>511</v>
      </c>
      <c r="CI101" s="11" t="s">
        <v>510</v>
      </c>
      <c r="CJ101" s="11" t="s">
        <v>509</v>
      </c>
      <c r="CK101" s="11" t="s">
        <v>508</v>
      </c>
      <c r="CL101" s="11" t="s">
        <v>507</v>
      </c>
      <c r="CM101" s="11" t="s">
        <v>506</v>
      </c>
      <c r="CN101" s="11" t="s">
        <v>505</v>
      </c>
      <c r="CO101" s="11" t="s">
        <v>504</v>
      </c>
      <c r="CP101" s="11" t="s">
        <v>503</v>
      </c>
      <c r="CQ101" s="11" t="s">
        <v>502</v>
      </c>
      <c r="CR101" s="11" t="s">
        <v>501</v>
      </c>
      <c r="CS101" s="11" t="s">
        <v>500</v>
      </c>
      <c r="CT101" s="11" t="s">
        <v>499</v>
      </c>
      <c r="CU101" s="11" t="s">
        <v>498</v>
      </c>
      <c r="CV101" s="11" t="s">
        <v>497</v>
      </c>
      <c r="CW101" s="11" t="s">
        <v>496</v>
      </c>
      <c r="CX101" s="11" t="s">
        <v>495</v>
      </c>
      <c r="CY101" s="11" t="s">
        <v>494</v>
      </c>
      <c r="CZ101" s="11" t="s">
        <v>493</v>
      </c>
      <c r="DA101" s="11" t="s">
        <v>492</v>
      </c>
      <c r="DB101" s="11" t="s">
        <v>491</v>
      </c>
      <c r="DC101" s="11" t="s">
        <v>490</v>
      </c>
      <c r="DD101" s="11" t="s">
        <v>489</v>
      </c>
      <c r="DE101" s="11" t="s">
        <v>488</v>
      </c>
      <c r="DF101" s="11" t="s">
        <v>487</v>
      </c>
      <c r="DG101" s="11" t="s">
        <v>486</v>
      </c>
      <c r="DH101" s="11" t="s">
        <v>485</v>
      </c>
      <c r="DI101" s="11" t="s">
        <v>484</v>
      </c>
      <c r="DJ101" s="11" t="s">
        <v>483</v>
      </c>
      <c r="DK101" s="11" t="s">
        <v>482</v>
      </c>
      <c r="DL101" s="11" t="s">
        <v>481</v>
      </c>
      <c r="DM101" s="11" t="s">
        <v>480</v>
      </c>
      <c r="DN101" s="11" t="s">
        <v>479</v>
      </c>
      <c r="DO101" s="11" t="s">
        <v>478</v>
      </c>
      <c r="DP101" s="11" t="s">
        <v>477</v>
      </c>
      <c r="DQ101" s="11" t="s">
        <v>476</v>
      </c>
      <c r="DR101" s="11" t="s">
        <v>475</v>
      </c>
      <c r="DS101" s="11" t="s">
        <v>474</v>
      </c>
      <c r="DT101" s="11" t="s">
        <v>473</v>
      </c>
      <c r="DU101" s="11" t="s">
        <v>472</v>
      </c>
      <c r="DV101" s="11" t="s">
        <v>471</v>
      </c>
      <c r="DW101" s="11" t="s">
        <v>470</v>
      </c>
      <c r="DX101" s="11" t="s">
        <v>469</v>
      </c>
      <c r="DY101" s="11" t="s">
        <v>468</v>
      </c>
      <c r="DZ101" s="11" t="s">
        <v>467</v>
      </c>
      <c r="EA101" s="11" t="s">
        <v>466</v>
      </c>
      <c r="EB101" s="11" t="s">
        <v>465</v>
      </c>
      <c r="EC101" s="11" t="s">
        <v>464</v>
      </c>
      <c r="ED101" s="11" t="s">
        <v>463</v>
      </c>
      <c r="EE101" s="11" t="s">
        <v>462</v>
      </c>
      <c r="EF101" s="11" t="s">
        <v>461</v>
      </c>
      <c r="EG101" s="11" t="s">
        <v>460</v>
      </c>
      <c r="EH101" s="11" t="s">
        <v>459</v>
      </c>
      <c r="EI101" s="11" t="s">
        <v>458</v>
      </c>
      <c r="EJ101" s="11" t="s">
        <v>457</v>
      </c>
      <c r="EK101" s="11" t="s">
        <v>456</v>
      </c>
      <c r="EL101" s="11" t="s">
        <v>455</v>
      </c>
      <c r="EM101" s="11" t="s">
        <v>454</v>
      </c>
      <c r="EN101" s="11" t="s">
        <v>453</v>
      </c>
      <c r="EO101" s="11" t="s">
        <v>452</v>
      </c>
      <c r="EP101" s="11" t="s">
        <v>451</v>
      </c>
      <c r="EQ101" s="11" t="s">
        <v>450</v>
      </c>
      <c r="ER101" s="11" t="s">
        <v>449</v>
      </c>
      <c r="ES101" s="11" t="s">
        <v>448</v>
      </c>
      <c r="ET101" s="11" t="s">
        <v>447</v>
      </c>
      <c r="EU101" s="11" t="s">
        <v>446</v>
      </c>
      <c r="EV101" s="11" t="s">
        <v>445</v>
      </c>
      <c r="EW101" s="11" t="s">
        <v>444</v>
      </c>
      <c r="EX101" s="11" t="s">
        <v>443</v>
      </c>
      <c r="EY101" s="11" t="s">
        <v>442</v>
      </c>
      <c r="EZ101" s="11" t="s">
        <v>441</v>
      </c>
      <c r="FA101" s="11" t="s">
        <v>440</v>
      </c>
      <c r="FB101" s="11" t="s">
        <v>439</v>
      </c>
      <c r="FC101" s="11" t="s">
        <v>438</v>
      </c>
      <c r="FD101" s="11" t="s">
        <v>437</v>
      </c>
      <c r="FE101" s="11" t="s">
        <v>436</v>
      </c>
      <c r="FF101" s="11" t="s">
        <v>435</v>
      </c>
      <c r="FG101" s="11" t="s">
        <v>434</v>
      </c>
      <c r="FH101" s="11" t="s">
        <v>433</v>
      </c>
      <c r="FI101" s="11" t="s">
        <v>432</v>
      </c>
      <c r="FJ101" s="11" t="s">
        <v>431</v>
      </c>
      <c r="FK101" s="11" t="s">
        <v>430</v>
      </c>
      <c r="FL101" s="11" t="s">
        <v>429</v>
      </c>
      <c r="FM101" s="11" t="s">
        <v>428</v>
      </c>
      <c r="FN101" s="11" t="s">
        <v>427</v>
      </c>
      <c r="FO101" s="11" t="s">
        <v>426</v>
      </c>
      <c r="FP101" s="11" t="s">
        <v>425</v>
      </c>
      <c r="FQ101" s="11" t="s">
        <v>424</v>
      </c>
      <c r="FR101" s="11" t="s">
        <v>423</v>
      </c>
      <c r="FS101" s="11" t="s">
        <v>422</v>
      </c>
      <c r="FT101" s="11" t="s">
        <v>421</v>
      </c>
      <c r="FU101" s="11" t="s">
        <v>420</v>
      </c>
      <c r="FV101" s="11" t="s">
        <v>419</v>
      </c>
      <c r="FW101" s="11" t="s">
        <v>418</v>
      </c>
      <c r="FX101" s="11" t="s">
        <v>417</v>
      </c>
      <c r="FY101" s="11" t="s">
        <v>416</v>
      </c>
      <c r="FZ101" s="11" t="s">
        <v>415</v>
      </c>
      <c r="GA101" s="11" t="s">
        <v>414</v>
      </c>
      <c r="GB101" s="11" t="s">
        <v>413</v>
      </c>
      <c r="GC101" s="11" t="s">
        <v>412</v>
      </c>
      <c r="GD101" s="11" t="s">
        <v>411</v>
      </c>
      <c r="GE101" s="11" t="s">
        <v>410</v>
      </c>
      <c r="GF101" s="11" t="s">
        <v>409</v>
      </c>
      <c r="GG101" s="11" t="s">
        <v>408</v>
      </c>
      <c r="GH101" s="11" t="s">
        <v>407</v>
      </c>
      <c r="GI101" s="11" t="s">
        <v>406</v>
      </c>
      <c r="GJ101" s="11" t="s">
        <v>405</v>
      </c>
      <c r="GK101" s="11" t="s">
        <v>404</v>
      </c>
      <c r="GL101" s="11" t="s">
        <v>403</v>
      </c>
      <c r="GM101" s="11" t="s">
        <v>402</v>
      </c>
      <c r="GN101" s="11" t="s">
        <v>401</v>
      </c>
      <c r="GO101" s="11" t="s">
        <v>400</v>
      </c>
      <c r="GP101" s="11" t="s">
        <v>399</v>
      </c>
      <c r="GQ101" s="11" t="s">
        <v>398</v>
      </c>
      <c r="GR101" s="11" t="s">
        <v>397</v>
      </c>
      <c r="GS101" s="11" t="s">
        <v>396</v>
      </c>
      <c r="GT101" s="11" t="s">
        <v>395</v>
      </c>
      <c r="GU101" s="11" t="s">
        <v>394</v>
      </c>
      <c r="GV101" s="11" t="s">
        <v>393</v>
      </c>
      <c r="GW101" s="11" t="s">
        <v>392</v>
      </c>
      <c r="GX101" s="11" t="s">
        <v>391</v>
      </c>
      <c r="GY101" s="11" t="s">
        <v>390</v>
      </c>
      <c r="GZ101" s="11" t="s">
        <v>389</v>
      </c>
      <c r="HA101" s="11" t="s">
        <v>388</v>
      </c>
      <c r="HB101" s="11" t="s">
        <v>387</v>
      </c>
      <c r="HC101" s="11" t="s">
        <v>386</v>
      </c>
      <c r="HD101" s="11" t="s">
        <v>385</v>
      </c>
      <c r="HE101" s="11" t="s">
        <v>384</v>
      </c>
      <c r="HF101" s="11" t="s">
        <v>383</v>
      </c>
      <c r="HG101" s="11" t="s">
        <v>382</v>
      </c>
      <c r="HH101" s="11" t="s">
        <v>381</v>
      </c>
      <c r="HI101" s="11" t="s">
        <v>380</v>
      </c>
      <c r="HJ101" s="11" t="s">
        <v>379</v>
      </c>
      <c r="HK101" s="11" t="s">
        <v>378</v>
      </c>
      <c r="HL101" s="11" t="s">
        <v>377</v>
      </c>
      <c r="HM101" s="11" t="s">
        <v>376</v>
      </c>
      <c r="HN101" s="11" t="s">
        <v>375</v>
      </c>
      <c r="HO101" s="11" t="s">
        <v>374</v>
      </c>
      <c r="HP101" s="11" t="s">
        <v>373</v>
      </c>
      <c r="HQ101" s="11" t="s">
        <v>372</v>
      </c>
      <c r="HR101" s="11" t="s">
        <v>371</v>
      </c>
      <c r="HS101" s="11" t="s">
        <v>370</v>
      </c>
      <c r="HT101" s="11" t="s">
        <v>369</v>
      </c>
      <c r="HU101" s="11" t="s">
        <v>368</v>
      </c>
    </row>
    <row r="102" spans="1:229" ht="27.65" customHeight="1" x14ac:dyDescent="0.3">
      <c r="A102" s="77"/>
      <c r="B102" s="12">
        <v>367</v>
      </c>
      <c r="C102" s="14">
        <v>324</v>
      </c>
      <c r="D102" s="14">
        <v>341</v>
      </c>
      <c r="E102" s="14">
        <v>676</v>
      </c>
      <c r="F102" s="14">
        <v>336</v>
      </c>
      <c r="G102" s="14">
        <v>322</v>
      </c>
      <c r="H102" s="14">
        <v>139</v>
      </c>
      <c r="I102" s="14">
        <v>165</v>
      </c>
      <c r="J102" s="14">
        <v>534</v>
      </c>
      <c r="K102" s="14">
        <v>362</v>
      </c>
      <c r="L102" s="14">
        <v>569</v>
      </c>
      <c r="M102" s="14">
        <v>549</v>
      </c>
      <c r="N102" s="14">
        <v>733</v>
      </c>
      <c r="O102" s="14">
        <v>496</v>
      </c>
      <c r="P102" s="14">
        <v>737</v>
      </c>
      <c r="Q102" s="14">
        <v>477</v>
      </c>
      <c r="R102" s="14">
        <v>425</v>
      </c>
      <c r="S102" s="14">
        <v>223</v>
      </c>
      <c r="T102" s="14">
        <v>177</v>
      </c>
      <c r="U102" s="14">
        <v>159</v>
      </c>
      <c r="V102" s="14">
        <v>162</v>
      </c>
      <c r="W102" s="14">
        <v>230</v>
      </c>
      <c r="X102" s="14">
        <v>317</v>
      </c>
      <c r="Y102" s="14">
        <v>411</v>
      </c>
      <c r="Z102" s="14">
        <v>436</v>
      </c>
      <c r="AA102" s="14">
        <v>444</v>
      </c>
      <c r="AB102" s="14">
        <v>726</v>
      </c>
      <c r="AC102" s="14">
        <v>758</v>
      </c>
      <c r="AD102" s="14">
        <v>414</v>
      </c>
      <c r="AE102" s="14">
        <v>338</v>
      </c>
      <c r="AF102" s="14">
        <v>215</v>
      </c>
      <c r="AG102" s="14">
        <v>153</v>
      </c>
      <c r="AH102" s="14">
        <v>292</v>
      </c>
      <c r="AI102" s="14">
        <v>389</v>
      </c>
      <c r="AJ102" s="14">
        <v>414</v>
      </c>
      <c r="AK102" s="14">
        <v>486</v>
      </c>
      <c r="AL102" s="14">
        <v>347</v>
      </c>
      <c r="AM102" s="14">
        <v>444</v>
      </c>
      <c r="AN102" s="14">
        <v>460</v>
      </c>
      <c r="AO102" s="14">
        <v>795</v>
      </c>
      <c r="AP102" s="14">
        <v>353</v>
      </c>
      <c r="AQ102" s="14">
        <v>374</v>
      </c>
      <c r="AR102" s="14">
        <v>222</v>
      </c>
      <c r="AS102" s="14">
        <v>212</v>
      </c>
      <c r="AT102" s="14">
        <v>180</v>
      </c>
      <c r="AU102" s="14">
        <v>555</v>
      </c>
      <c r="AV102" s="14">
        <v>737</v>
      </c>
      <c r="AW102" s="14">
        <v>714</v>
      </c>
      <c r="AX102" s="14">
        <v>732</v>
      </c>
      <c r="AY102" s="14">
        <v>544</v>
      </c>
      <c r="AZ102" s="14">
        <v>693</v>
      </c>
      <c r="BA102" s="14">
        <v>988</v>
      </c>
      <c r="BB102" s="14">
        <v>582</v>
      </c>
      <c r="BC102" s="14">
        <v>400</v>
      </c>
      <c r="BD102" s="14">
        <v>236</v>
      </c>
      <c r="BE102" s="14">
        <v>329</v>
      </c>
      <c r="BF102" s="14">
        <v>328</v>
      </c>
      <c r="BG102" s="14">
        <v>407</v>
      </c>
      <c r="BH102" s="14">
        <v>584</v>
      </c>
      <c r="BI102" s="14">
        <v>603</v>
      </c>
      <c r="BJ102" s="14">
        <v>699</v>
      </c>
      <c r="BK102" s="14">
        <v>665</v>
      </c>
      <c r="BL102" s="14">
        <v>662</v>
      </c>
      <c r="BM102" s="13">
        <v>1024</v>
      </c>
      <c r="BN102" s="14">
        <v>637</v>
      </c>
      <c r="BO102" s="14">
        <v>270</v>
      </c>
      <c r="BP102" s="14">
        <v>251</v>
      </c>
      <c r="BQ102" s="14">
        <v>270</v>
      </c>
      <c r="BR102" s="14">
        <v>201</v>
      </c>
      <c r="BS102" s="14">
        <v>278</v>
      </c>
      <c r="BT102" s="14">
        <v>409</v>
      </c>
      <c r="BU102" s="14">
        <v>529</v>
      </c>
      <c r="BV102" s="14">
        <v>510</v>
      </c>
      <c r="BW102" s="14">
        <v>495</v>
      </c>
      <c r="BX102" s="14">
        <v>542</v>
      </c>
      <c r="BY102" s="14">
        <v>800</v>
      </c>
      <c r="BZ102" s="14">
        <v>617</v>
      </c>
      <c r="CA102" s="14">
        <v>352</v>
      </c>
      <c r="CB102" s="14">
        <v>352</v>
      </c>
      <c r="CC102" s="14">
        <v>273</v>
      </c>
      <c r="CD102" s="14">
        <v>221</v>
      </c>
      <c r="CE102" s="14">
        <v>427</v>
      </c>
      <c r="CF102" s="14">
        <v>579</v>
      </c>
      <c r="CG102" s="14">
        <v>645</v>
      </c>
      <c r="CH102" s="14">
        <v>629</v>
      </c>
      <c r="CI102" s="14">
        <v>479</v>
      </c>
      <c r="CJ102" s="14">
        <v>466</v>
      </c>
      <c r="CK102" s="14">
        <v>692</v>
      </c>
      <c r="CL102" s="14">
        <v>699</v>
      </c>
      <c r="CM102" s="14">
        <v>320</v>
      </c>
      <c r="CN102" s="14">
        <v>290</v>
      </c>
      <c r="CO102" s="14">
        <v>291</v>
      </c>
      <c r="CP102" s="14">
        <v>316</v>
      </c>
      <c r="CQ102" s="14">
        <v>463</v>
      </c>
      <c r="CR102" s="14">
        <v>437</v>
      </c>
      <c r="CS102" s="14">
        <v>425</v>
      </c>
      <c r="CT102" s="14">
        <v>566</v>
      </c>
      <c r="CU102" s="14">
        <v>470</v>
      </c>
      <c r="CV102" s="14">
        <v>499</v>
      </c>
      <c r="CW102" s="14">
        <v>538</v>
      </c>
      <c r="CX102" s="14">
        <v>408</v>
      </c>
      <c r="CY102" s="14">
        <v>278</v>
      </c>
      <c r="CZ102" s="14">
        <v>289</v>
      </c>
      <c r="DA102" s="14">
        <v>292</v>
      </c>
      <c r="DB102" s="14">
        <v>236</v>
      </c>
      <c r="DC102" s="14">
        <v>432</v>
      </c>
      <c r="DD102" s="14">
        <v>423</v>
      </c>
      <c r="DE102" s="14">
        <v>426</v>
      </c>
      <c r="DF102" s="14">
        <v>445</v>
      </c>
      <c r="DG102" s="14">
        <v>394</v>
      </c>
      <c r="DH102" s="14">
        <v>611</v>
      </c>
      <c r="DI102" s="14">
        <v>577</v>
      </c>
      <c r="DJ102" s="14">
        <v>398</v>
      </c>
      <c r="DK102" s="14">
        <v>283</v>
      </c>
      <c r="DL102" s="14">
        <v>309</v>
      </c>
      <c r="DM102" s="14">
        <v>427</v>
      </c>
      <c r="DN102" s="14">
        <v>344</v>
      </c>
      <c r="DO102" s="14">
        <v>487</v>
      </c>
      <c r="DP102" s="14">
        <v>576</v>
      </c>
      <c r="DQ102" s="14">
        <v>533</v>
      </c>
      <c r="DR102" s="14">
        <v>649</v>
      </c>
      <c r="DS102" s="14">
        <v>443</v>
      </c>
      <c r="DT102" s="14">
        <v>577</v>
      </c>
      <c r="DU102" s="14">
        <v>594</v>
      </c>
      <c r="DV102" s="14">
        <v>525</v>
      </c>
      <c r="DW102" s="14">
        <v>414</v>
      </c>
      <c r="DX102" s="14">
        <v>331</v>
      </c>
      <c r="DY102" s="14">
        <v>354</v>
      </c>
      <c r="DZ102" s="14">
        <v>267</v>
      </c>
      <c r="EA102" s="14">
        <v>529</v>
      </c>
      <c r="EB102" s="14">
        <v>816</v>
      </c>
      <c r="EC102" s="14">
        <v>729</v>
      </c>
      <c r="ED102" s="14">
        <v>741</v>
      </c>
      <c r="EE102" s="14">
        <v>601</v>
      </c>
      <c r="EF102" s="14">
        <v>949</v>
      </c>
      <c r="EG102" s="14">
        <v>742</v>
      </c>
      <c r="EH102" s="14">
        <v>580</v>
      </c>
      <c r="EI102" s="14">
        <v>363</v>
      </c>
      <c r="EJ102" s="14">
        <v>362</v>
      </c>
      <c r="EK102" s="14">
        <v>396</v>
      </c>
      <c r="EL102" s="14">
        <v>533</v>
      </c>
      <c r="EM102" s="14">
        <v>623</v>
      </c>
      <c r="EN102" s="14">
        <v>728</v>
      </c>
      <c r="EO102" s="14">
        <v>722</v>
      </c>
      <c r="EP102" s="14">
        <v>881</v>
      </c>
      <c r="EQ102" s="14">
        <v>717</v>
      </c>
      <c r="ER102" s="14">
        <v>727</v>
      </c>
      <c r="ES102" s="14">
        <v>820</v>
      </c>
      <c r="ET102" s="14">
        <v>432</v>
      </c>
      <c r="EU102" s="14">
        <v>303</v>
      </c>
      <c r="EV102" s="14">
        <v>377</v>
      </c>
      <c r="EW102" s="14">
        <v>450</v>
      </c>
      <c r="EX102" s="14">
        <v>381</v>
      </c>
      <c r="EY102" s="14">
        <v>390</v>
      </c>
      <c r="EZ102" s="14">
        <v>494</v>
      </c>
      <c r="FA102" s="14">
        <v>528</v>
      </c>
      <c r="FB102" s="14">
        <v>599</v>
      </c>
      <c r="FC102" s="14">
        <v>471</v>
      </c>
      <c r="FD102" s="14">
        <v>686</v>
      </c>
      <c r="FE102" s="14">
        <v>499</v>
      </c>
      <c r="FF102" s="14">
        <v>421</v>
      </c>
      <c r="FG102" s="14">
        <v>407</v>
      </c>
      <c r="FH102" s="14">
        <v>357</v>
      </c>
      <c r="FI102" s="14">
        <v>525</v>
      </c>
      <c r="FJ102" s="14">
        <v>553</v>
      </c>
      <c r="FK102" s="14">
        <v>514</v>
      </c>
      <c r="FL102" s="14">
        <v>586</v>
      </c>
      <c r="FM102" s="14">
        <v>560</v>
      </c>
      <c r="FN102" s="14">
        <v>629</v>
      </c>
      <c r="FO102" s="14">
        <v>604</v>
      </c>
      <c r="FP102" s="14">
        <v>674</v>
      </c>
      <c r="FQ102" s="14">
        <v>380</v>
      </c>
      <c r="FR102" s="14">
        <v>442</v>
      </c>
      <c r="FS102" s="14">
        <v>479</v>
      </c>
      <c r="FT102" s="14">
        <v>262</v>
      </c>
      <c r="FU102" s="14">
        <v>395</v>
      </c>
      <c r="FV102" s="14">
        <v>340</v>
      </c>
      <c r="FW102" s="14">
        <v>334</v>
      </c>
      <c r="FX102" s="14">
        <v>461</v>
      </c>
      <c r="FY102" s="14">
        <v>511</v>
      </c>
      <c r="FZ102" s="14">
        <v>606</v>
      </c>
      <c r="GA102" s="14">
        <v>590</v>
      </c>
      <c r="GB102" s="14">
        <v>704</v>
      </c>
      <c r="GC102" s="14">
        <v>655</v>
      </c>
      <c r="GD102" s="14">
        <v>531</v>
      </c>
      <c r="GE102" s="14">
        <v>354</v>
      </c>
      <c r="GF102" s="14">
        <v>307</v>
      </c>
      <c r="GG102" s="14">
        <v>162</v>
      </c>
      <c r="GH102" s="14">
        <v>322</v>
      </c>
      <c r="GI102" s="14">
        <v>279</v>
      </c>
      <c r="GJ102" s="14">
        <v>427</v>
      </c>
      <c r="GK102" s="14">
        <v>671</v>
      </c>
      <c r="GL102" s="14">
        <v>520</v>
      </c>
      <c r="GM102" s="14">
        <v>456</v>
      </c>
      <c r="GN102" s="14">
        <v>460</v>
      </c>
      <c r="GO102" s="14">
        <v>658</v>
      </c>
      <c r="GP102" s="14">
        <v>402</v>
      </c>
      <c r="GQ102" s="14">
        <v>279</v>
      </c>
      <c r="GR102" s="14">
        <v>208</v>
      </c>
      <c r="GS102" s="14">
        <v>259</v>
      </c>
      <c r="GT102" s="14">
        <v>201</v>
      </c>
      <c r="GU102" s="14">
        <v>220</v>
      </c>
      <c r="GV102" s="14">
        <v>493</v>
      </c>
      <c r="GW102" s="14">
        <v>637</v>
      </c>
      <c r="GX102" s="14">
        <v>919</v>
      </c>
      <c r="GY102" s="14">
        <v>690</v>
      </c>
      <c r="GZ102" s="14">
        <v>851</v>
      </c>
      <c r="HA102" s="14">
        <v>985</v>
      </c>
      <c r="HB102" s="14">
        <v>345</v>
      </c>
      <c r="HC102" s="14">
        <v>196</v>
      </c>
      <c r="HD102" s="14">
        <v>134</v>
      </c>
      <c r="HE102" s="14">
        <v>227</v>
      </c>
      <c r="HF102" s="14">
        <v>272</v>
      </c>
      <c r="HG102" s="14">
        <v>286</v>
      </c>
      <c r="HH102" s="14">
        <v>500</v>
      </c>
      <c r="HI102" s="14">
        <v>596</v>
      </c>
      <c r="HJ102" s="14">
        <v>832</v>
      </c>
      <c r="HK102" s="14">
        <v>771</v>
      </c>
      <c r="HL102" s="14">
        <v>948</v>
      </c>
      <c r="HM102" s="14">
        <v>786</v>
      </c>
      <c r="HN102" s="14">
        <v>495</v>
      </c>
      <c r="HO102" s="14">
        <v>239</v>
      </c>
      <c r="HP102" s="14">
        <v>291</v>
      </c>
      <c r="HQ102" s="14">
        <v>316</v>
      </c>
      <c r="HR102" s="14">
        <v>292</v>
      </c>
      <c r="HS102" s="14">
        <v>219</v>
      </c>
      <c r="HT102" s="14">
        <v>347</v>
      </c>
      <c r="HU102" s="14">
        <v>370</v>
      </c>
    </row>
    <row r="104" spans="1:229" x14ac:dyDescent="0.3">
      <c r="A104" s="15" t="s">
        <v>367</v>
      </c>
      <c r="B104" s="16">
        <f>SUM(B102:HU102)</f>
        <v>107636</v>
      </c>
    </row>
    <row r="106" spans="1:229" ht="18" customHeight="1" x14ac:dyDescent="0.3">
      <c r="A106" s="10" t="s">
        <v>648</v>
      </c>
    </row>
    <row r="107" spans="1:229" ht="58" customHeight="1" x14ac:dyDescent="0.3">
      <c r="A107" s="11"/>
      <c r="B107" s="11" t="s">
        <v>647</v>
      </c>
      <c r="C107" s="11" t="s">
        <v>128</v>
      </c>
      <c r="D107" s="11" t="s">
        <v>127</v>
      </c>
      <c r="F107" s="11" t="s">
        <v>218</v>
      </c>
      <c r="G107" s="11" t="s">
        <v>646</v>
      </c>
    </row>
    <row r="108" spans="1:229" x14ac:dyDescent="0.3">
      <c r="A108" s="17">
        <v>2000</v>
      </c>
      <c r="B108" s="13">
        <v>1433</v>
      </c>
      <c r="C108" s="14">
        <v>152</v>
      </c>
      <c r="D108" s="13">
        <f t="shared" ref="D108:D132" si="0">SUM(F108,G108)</f>
        <v>2735</v>
      </c>
      <c r="F108" s="13">
        <v>1189</v>
      </c>
      <c r="G108" s="13">
        <v>1546</v>
      </c>
    </row>
    <row r="109" spans="1:229" x14ac:dyDescent="0.3">
      <c r="A109" s="17">
        <v>2001</v>
      </c>
      <c r="B109" s="13">
        <v>1545</v>
      </c>
      <c r="C109" s="14">
        <v>173</v>
      </c>
      <c r="D109" s="13">
        <f t="shared" si="0"/>
        <v>2705</v>
      </c>
      <c r="F109" s="13">
        <v>1239</v>
      </c>
      <c r="G109" s="13">
        <v>1466</v>
      </c>
    </row>
    <row r="110" spans="1:229" x14ac:dyDescent="0.3">
      <c r="A110" s="17">
        <v>2002</v>
      </c>
      <c r="B110" s="13">
        <v>1526</v>
      </c>
      <c r="C110" s="14">
        <v>144</v>
      </c>
      <c r="D110" s="13">
        <f t="shared" si="0"/>
        <v>3044</v>
      </c>
      <c r="F110" s="13">
        <v>1317</v>
      </c>
      <c r="G110" s="13">
        <v>1727</v>
      </c>
    </row>
    <row r="111" spans="1:229" x14ac:dyDescent="0.3">
      <c r="A111" s="17">
        <v>2003</v>
      </c>
      <c r="B111" s="13">
        <v>1605</v>
      </c>
      <c r="C111" s="14">
        <v>136</v>
      </c>
      <c r="D111" s="13">
        <f t="shared" si="0"/>
        <v>3286</v>
      </c>
      <c r="F111" s="13">
        <v>1421</v>
      </c>
      <c r="G111" s="13">
        <v>1865</v>
      </c>
    </row>
    <row r="112" spans="1:229" x14ac:dyDescent="0.3">
      <c r="A112" s="17">
        <v>2004</v>
      </c>
      <c r="B112" s="13">
        <v>1634</v>
      </c>
      <c r="C112" s="14">
        <v>139</v>
      </c>
      <c r="D112" s="13">
        <f t="shared" si="0"/>
        <v>3455</v>
      </c>
      <c r="F112" s="13">
        <v>1467</v>
      </c>
      <c r="G112" s="13">
        <v>1988</v>
      </c>
    </row>
    <row r="113" spans="1:7" x14ac:dyDescent="0.3">
      <c r="A113" s="17">
        <v>2005</v>
      </c>
      <c r="B113" s="13">
        <v>1700</v>
      </c>
      <c r="C113" s="14">
        <v>148</v>
      </c>
      <c r="D113" s="13">
        <f t="shared" si="0"/>
        <v>3714</v>
      </c>
      <c r="F113" s="13">
        <v>1572</v>
      </c>
      <c r="G113" s="13">
        <v>2142</v>
      </c>
    </row>
    <row r="114" spans="1:7" x14ac:dyDescent="0.3">
      <c r="A114" s="17">
        <v>2006</v>
      </c>
      <c r="B114" s="13">
        <v>1759</v>
      </c>
      <c r="C114" s="14">
        <v>150</v>
      </c>
      <c r="D114" s="13">
        <f t="shared" si="0"/>
        <v>4059</v>
      </c>
      <c r="F114" s="13">
        <v>1728</v>
      </c>
      <c r="G114" s="13">
        <v>2331</v>
      </c>
    </row>
    <row r="115" spans="1:7" x14ac:dyDescent="0.3">
      <c r="A115" s="17">
        <v>2007</v>
      </c>
      <c r="B115" s="13">
        <v>1816</v>
      </c>
      <c r="C115" s="14">
        <v>140</v>
      </c>
      <c r="D115" s="13">
        <f t="shared" si="0"/>
        <v>4498</v>
      </c>
      <c r="F115" s="13">
        <v>1794</v>
      </c>
      <c r="G115" s="13">
        <v>2704</v>
      </c>
    </row>
    <row r="116" spans="1:7" x14ac:dyDescent="0.3">
      <c r="A116" s="17">
        <v>2008</v>
      </c>
      <c r="B116" s="13">
        <v>1685</v>
      </c>
      <c r="C116" s="14">
        <v>138</v>
      </c>
      <c r="D116" s="13">
        <f t="shared" si="0"/>
        <v>4666</v>
      </c>
      <c r="F116" s="13">
        <v>2031</v>
      </c>
      <c r="G116" s="13">
        <v>2635</v>
      </c>
    </row>
    <row r="117" spans="1:7" x14ac:dyDescent="0.3">
      <c r="A117" s="17">
        <v>2009</v>
      </c>
      <c r="B117" s="13">
        <v>1506</v>
      </c>
      <c r="C117" s="14">
        <v>121</v>
      </c>
      <c r="D117" s="13">
        <f t="shared" si="0"/>
        <v>4341</v>
      </c>
      <c r="F117" s="13">
        <v>2000</v>
      </c>
      <c r="G117" s="13">
        <v>2341</v>
      </c>
    </row>
    <row r="118" spans="1:7" x14ac:dyDescent="0.3">
      <c r="A118" s="17">
        <v>2010</v>
      </c>
      <c r="B118" s="13">
        <v>1590</v>
      </c>
      <c r="C118" s="14">
        <v>126</v>
      </c>
      <c r="D118" s="13">
        <f t="shared" si="0"/>
        <v>4360</v>
      </c>
      <c r="F118" s="13">
        <v>1938</v>
      </c>
      <c r="G118" s="13">
        <v>2422</v>
      </c>
    </row>
    <row r="119" spans="1:7" x14ac:dyDescent="0.3">
      <c r="A119" s="17">
        <v>2011</v>
      </c>
      <c r="B119" s="13">
        <v>1670</v>
      </c>
      <c r="C119" s="14">
        <v>124</v>
      </c>
      <c r="D119" s="13">
        <f t="shared" si="0"/>
        <v>4262</v>
      </c>
      <c r="F119" s="13">
        <v>1772</v>
      </c>
      <c r="G119" s="13">
        <v>2490</v>
      </c>
    </row>
    <row r="120" spans="1:7" x14ac:dyDescent="0.3">
      <c r="A120" s="17">
        <v>2012</v>
      </c>
      <c r="B120" s="13">
        <v>1993</v>
      </c>
      <c r="C120" s="14">
        <v>129</v>
      </c>
      <c r="D120" s="13">
        <f t="shared" si="0"/>
        <v>4578</v>
      </c>
      <c r="F120" s="13">
        <v>1776</v>
      </c>
      <c r="G120" s="13">
        <v>2802</v>
      </c>
    </row>
    <row r="121" spans="1:7" x14ac:dyDescent="0.3">
      <c r="A121" s="17">
        <v>2013</v>
      </c>
      <c r="B121" s="13">
        <v>1808</v>
      </c>
      <c r="C121" s="14">
        <v>124</v>
      </c>
      <c r="D121" s="13">
        <f t="shared" si="0"/>
        <v>4490</v>
      </c>
      <c r="F121" s="13">
        <v>1783</v>
      </c>
      <c r="G121" s="13">
        <v>2707</v>
      </c>
    </row>
    <row r="122" spans="1:7" x14ac:dyDescent="0.3">
      <c r="A122" s="17">
        <v>2014</v>
      </c>
      <c r="B122" s="13">
        <v>1668</v>
      </c>
      <c r="C122" s="14">
        <v>117</v>
      </c>
      <c r="D122" s="13">
        <f t="shared" si="0"/>
        <v>4632</v>
      </c>
      <c r="F122" s="13">
        <v>1747</v>
      </c>
      <c r="G122" s="13">
        <v>2885</v>
      </c>
    </row>
    <row r="123" spans="1:7" x14ac:dyDescent="0.3">
      <c r="A123" s="17">
        <v>2015</v>
      </c>
      <c r="B123" s="13">
        <v>1703</v>
      </c>
      <c r="C123" s="14">
        <v>107</v>
      </c>
      <c r="D123" s="13">
        <f t="shared" si="0"/>
        <v>4487</v>
      </c>
      <c r="F123" s="13">
        <v>1759</v>
      </c>
      <c r="G123" s="13">
        <v>2728</v>
      </c>
    </row>
    <row r="124" spans="1:7" x14ac:dyDescent="0.3">
      <c r="A124" s="17">
        <v>2016</v>
      </c>
      <c r="B124" s="13">
        <v>1668</v>
      </c>
      <c r="C124" s="14">
        <v>105</v>
      </c>
      <c r="D124" s="13">
        <f t="shared" si="0"/>
        <v>4528</v>
      </c>
      <c r="F124" s="13">
        <v>1793</v>
      </c>
      <c r="G124" s="13">
        <v>2735</v>
      </c>
    </row>
    <row r="125" spans="1:7" x14ac:dyDescent="0.3">
      <c r="A125" s="17">
        <v>2017</v>
      </c>
      <c r="B125" s="13">
        <v>1763</v>
      </c>
      <c r="C125" s="14">
        <v>105</v>
      </c>
      <c r="D125" s="13">
        <f t="shared" si="0"/>
        <v>4423</v>
      </c>
      <c r="F125" s="13">
        <v>1658</v>
      </c>
      <c r="G125" s="13">
        <v>2765</v>
      </c>
    </row>
    <row r="126" spans="1:7" x14ac:dyDescent="0.3">
      <c r="A126" s="17">
        <v>2018</v>
      </c>
      <c r="B126" s="13">
        <v>1842</v>
      </c>
      <c r="C126" s="14">
        <v>104</v>
      </c>
      <c r="D126" s="13">
        <f t="shared" si="0"/>
        <v>4526</v>
      </c>
      <c r="F126" s="13">
        <v>1670</v>
      </c>
      <c r="G126" s="13">
        <v>2856</v>
      </c>
    </row>
    <row r="127" spans="1:7" x14ac:dyDescent="0.3">
      <c r="A127" s="17">
        <v>2019</v>
      </c>
      <c r="B127" s="13">
        <v>1846</v>
      </c>
      <c r="C127" s="14">
        <v>101</v>
      </c>
      <c r="D127" s="13">
        <f t="shared" si="0"/>
        <v>4497</v>
      </c>
      <c r="F127" s="13">
        <v>1649</v>
      </c>
      <c r="G127" s="13">
        <v>2848</v>
      </c>
    </row>
    <row r="128" spans="1:7" x14ac:dyDescent="0.3">
      <c r="A128" s="17">
        <v>2020</v>
      </c>
      <c r="B128" s="13">
        <v>1864</v>
      </c>
      <c r="C128" s="14">
        <v>94</v>
      </c>
      <c r="D128" s="13">
        <f t="shared" si="0"/>
        <v>4330</v>
      </c>
      <c r="F128" s="13">
        <v>1751</v>
      </c>
      <c r="G128" s="13">
        <v>2579</v>
      </c>
    </row>
    <row r="129" spans="1:14" x14ac:dyDescent="0.3">
      <c r="A129" s="17">
        <v>2021</v>
      </c>
      <c r="B129" s="13">
        <v>1946</v>
      </c>
      <c r="C129" s="14">
        <v>98</v>
      </c>
      <c r="D129" s="13">
        <f t="shared" si="0"/>
        <v>4465</v>
      </c>
      <c r="F129" s="13">
        <v>1796</v>
      </c>
      <c r="G129" s="13">
        <v>2669</v>
      </c>
    </row>
    <row r="130" spans="1:14" x14ac:dyDescent="0.3">
      <c r="A130" s="17">
        <v>2022</v>
      </c>
      <c r="B130" s="13">
        <v>1848</v>
      </c>
      <c r="C130" s="14">
        <v>101</v>
      </c>
      <c r="D130" s="13">
        <f t="shared" si="0"/>
        <v>4326</v>
      </c>
      <c r="F130" s="13">
        <v>1685</v>
      </c>
      <c r="G130" s="13">
        <v>2641</v>
      </c>
    </row>
    <row r="131" spans="1:14" x14ac:dyDescent="0.3">
      <c r="A131" s="17">
        <v>2023</v>
      </c>
      <c r="B131" s="13">
        <v>1751</v>
      </c>
      <c r="C131" s="14">
        <v>107</v>
      </c>
      <c r="D131" s="13">
        <f t="shared" si="0"/>
        <v>4229</v>
      </c>
      <c r="F131" s="13">
        <v>1650</v>
      </c>
      <c r="G131" s="13">
        <v>2579</v>
      </c>
    </row>
    <row r="132" spans="1:14" x14ac:dyDescent="0.3">
      <c r="A132" s="17">
        <v>2024</v>
      </c>
      <c r="B132" s="13">
        <v>1782</v>
      </c>
      <c r="C132" s="14">
        <v>122</v>
      </c>
      <c r="D132" s="13">
        <f t="shared" si="0"/>
        <v>4412</v>
      </c>
      <c r="F132" s="13">
        <v>1740</v>
      </c>
      <c r="G132" s="13">
        <v>2672</v>
      </c>
    </row>
    <row r="134" spans="1:14" ht="18" customHeight="1" x14ac:dyDescent="0.3">
      <c r="A134" s="10" t="s">
        <v>645</v>
      </c>
    </row>
    <row r="135" spans="1:14" ht="58" customHeight="1" x14ac:dyDescent="0.3">
      <c r="A135" s="11" t="s">
        <v>362</v>
      </c>
      <c r="B135" s="11" t="s">
        <v>361</v>
      </c>
      <c r="C135" s="11" t="s">
        <v>331</v>
      </c>
      <c r="D135" s="11" t="s">
        <v>357</v>
      </c>
      <c r="E135" s="11" t="s">
        <v>329</v>
      </c>
      <c r="F135" s="11" t="s">
        <v>353</v>
      </c>
      <c r="G135" s="11" t="s">
        <v>352</v>
      </c>
      <c r="H135" s="11" t="s">
        <v>644</v>
      </c>
      <c r="I135" s="11" t="s">
        <v>348</v>
      </c>
      <c r="J135" s="11" t="s">
        <v>347</v>
      </c>
      <c r="K135" s="11" t="s">
        <v>346</v>
      </c>
      <c r="L135" s="11" t="s">
        <v>643</v>
      </c>
      <c r="M135" s="11" t="s">
        <v>339</v>
      </c>
      <c r="N135" s="11" t="s">
        <v>338</v>
      </c>
    </row>
    <row r="136" spans="1:14" x14ac:dyDescent="0.3">
      <c r="A136" s="17">
        <v>2000</v>
      </c>
      <c r="B136" s="13">
        <f t="shared" ref="B136:B160" si="1">SUM(C136:K136)</f>
        <v>4137</v>
      </c>
      <c r="C136" s="14">
        <v>78</v>
      </c>
      <c r="D136" s="14">
        <v>0</v>
      </c>
      <c r="E136" s="14">
        <v>107</v>
      </c>
      <c r="F136" s="13">
        <v>1128</v>
      </c>
      <c r="G136" s="14">
        <v>0</v>
      </c>
      <c r="H136" s="14">
        <v>0</v>
      </c>
      <c r="I136" s="13">
        <v>2819</v>
      </c>
      <c r="J136" s="14">
        <v>5</v>
      </c>
      <c r="K136" s="14">
        <v>0</v>
      </c>
      <c r="L136" s="13">
        <v>2108</v>
      </c>
      <c r="M136" s="21">
        <v>0.31737974377568284</v>
      </c>
      <c r="N136" s="21">
        <v>0.6826202562243171</v>
      </c>
    </row>
    <row r="137" spans="1:14" x14ac:dyDescent="0.3">
      <c r="A137" s="17">
        <v>2001</v>
      </c>
      <c r="B137" s="13">
        <f t="shared" si="1"/>
        <v>4283</v>
      </c>
      <c r="C137" s="14">
        <v>42</v>
      </c>
      <c r="D137" s="14">
        <v>3</v>
      </c>
      <c r="E137" s="14">
        <v>95</v>
      </c>
      <c r="F137" s="13">
        <v>1304</v>
      </c>
      <c r="G137" s="14">
        <v>0</v>
      </c>
      <c r="H137" s="14">
        <v>3</v>
      </c>
      <c r="I137" s="13">
        <v>2833</v>
      </c>
      <c r="J137" s="14">
        <v>3</v>
      </c>
      <c r="K137" s="14">
        <v>0</v>
      </c>
      <c r="L137" s="13">
        <v>2340</v>
      </c>
      <c r="M137" s="21">
        <v>0.33644641606350689</v>
      </c>
      <c r="N137" s="21">
        <v>0.66355358393649311</v>
      </c>
    </row>
    <row r="138" spans="1:14" x14ac:dyDescent="0.3">
      <c r="A138" s="17">
        <v>2002</v>
      </c>
      <c r="B138" s="13">
        <f t="shared" si="1"/>
        <v>3985</v>
      </c>
      <c r="C138" s="14">
        <v>38</v>
      </c>
      <c r="D138" s="14">
        <v>5</v>
      </c>
      <c r="E138" s="14">
        <v>139</v>
      </c>
      <c r="F138" s="13">
        <v>1313</v>
      </c>
      <c r="G138" s="14">
        <v>5</v>
      </c>
      <c r="H138" s="14">
        <v>10</v>
      </c>
      <c r="I138" s="13">
        <v>2464</v>
      </c>
      <c r="J138" s="14">
        <v>11</v>
      </c>
      <c r="K138" s="14">
        <v>0</v>
      </c>
      <c r="L138" s="13">
        <v>2838</v>
      </c>
      <c r="M138" s="21">
        <v>0.37390213299874531</v>
      </c>
      <c r="N138" s="21">
        <v>0.62609786700125469</v>
      </c>
    </row>
    <row r="139" spans="1:14" x14ac:dyDescent="0.3">
      <c r="A139" s="17">
        <v>2003</v>
      </c>
      <c r="B139" s="13">
        <f t="shared" si="1"/>
        <v>3999</v>
      </c>
      <c r="C139" s="14">
        <v>22</v>
      </c>
      <c r="D139" s="14">
        <v>6</v>
      </c>
      <c r="E139" s="14">
        <v>82</v>
      </c>
      <c r="F139" s="13">
        <v>1533</v>
      </c>
      <c r="G139" s="14">
        <v>18</v>
      </c>
      <c r="H139" s="14">
        <v>24</v>
      </c>
      <c r="I139" s="13">
        <v>2266</v>
      </c>
      <c r="J139" s="14">
        <v>48</v>
      </c>
      <c r="K139" s="14">
        <v>0</v>
      </c>
      <c r="L139" s="13">
        <v>2671</v>
      </c>
      <c r="M139" s="21">
        <v>0.40935233808452115</v>
      </c>
      <c r="N139" s="21">
        <v>0.59064766191547891</v>
      </c>
    </row>
    <row r="140" spans="1:14" x14ac:dyDescent="0.3">
      <c r="A140" s="17">
        <v>2004</v>
      </c>
      <c r="B140" s="13">
        <f t="shared" si="1"/>
        <v>4727</v>
      </c>
      <c r="C140" s="14">
        <v>0</v>
      </c>
      <c r="D140" s="14">
        <v>6</v>
      </c>
      <c r="E140" s="14">
        <v>60</v>
      </c>
      <c r="F140" s="13">
        <v>1433</v>
      </c>
      <c r="G140" s="14">
        <v>32</v>
      </c>
      <c r="H140" s="14">
        <v>38</v>
      </c>
      <c r="I140" s="13">
        <v>3109</v>
      </c>
      <c r="J140" s="14">
        <v>49</v>
      </c>
      <c r="K140" s="14">
        <v>0</v>
      </c>
      <c r="L140" s="13">
        <v>2733</v>
      </c>
      <c r="M140" s="21">
        <v>0.3158451449122065</v>
      </c>
      <c r="N140" s="21">
        <v>0.6841548550877935</v>
      </c>
    </row>
    <row r="141" spans="1:14" x14ac:dyDescent="0.3">
      <c r="A141" s="17">
        <v>2005</v>
      </c>
      <c r="B141" s="13">
        <f t="shared" si="1"/>
        <v>4947</v>
      </c>
      <c r="C141" s="14">
        <v>0</v>
      </c>
      <c r="D141" s="14">
        <v>6</v>
      </c>
      <c r="E141" s="14">
        <v>6</v>
      </c>
      <c r="F141" s="13">
        <v>1486</v>
      </c>
      <c r="G141" s="14">
        <v>36</v>
      </c>
      <c r="H141" s="14">
        <v>41</v>
      </c>
      <c r="I141" s="13">
        <v>3325</v>
      </c>
      <c r="J141" s="14">
        <v>47</v>
      </c>
      <c r="K141" s="14">
        <v>0</v>
      </c>
      <c r="L141" s="13">
        <v>2855</v>
      </c>
      <c r="M141" s="21">
        <v>0.3015969274307661</v>
      </c>
      <c r="N141" s="21">
        <v>0.69840307256923384</v>
      </c>
    </row>
    <row r="142" spans="1:14" x14ac:dyDescent="0.3">
      <c r="A142" s="17">
        <v>2006</v>
      </c>
      <c r="B142" s="13">
        <f t="shared" si="1"/>
        <v>4934</v>
      </c>
      <c r="C142" s="14">
        <v>0</v>
      </c>
      <c r="D142" s="14">
        <v>7</v>
      </c>
      <c r="E142" s="14">
        <v>5</v>
      </c>
      <c r="F142" s="13">
        <v>2100</v>
      </c>
      <c r="G142" s="14">
        <v>36</v>
      </c>
      <c r="H142" s="14">
        <v>42</v>
      </c>
      <c r="I142" s="13">
        <v>2698</v>
      </c>
      <c r="J142" s="14">
        <v>46</v>
      </c>
      <c r="K142" s="14">
        <v>0</v>
      </c>
      <c r="L142" s="13">
        <v>2810</v>
      </c>
      <c r="M142" s="21">
        <v>0.42663153627888123</v>
      </c>
      <c r="N142" s="21">
        <v>0.57336846372111872</v>
      </c>
    </row>
    <row r="143" spans="1:14" x14ac:dyDescent="0.3">
      <c r="A143" s="17">
        <v>2007</v>
      </c>
      <c r="B143" s="13">
        <f t="shared" si="1"/>
        <v>4813</v>
      </c>
      <c r="C143" s="14">
        <v>1</v>
      </c>
      <c r="D143" s="14">
        <v>5</v>
      </c>
      <c r="E143" s="14">
        <v>17</v>
      </c>
      <c r="F143" s="13">
        <v>1925</v>
      </c>
      <c r="G143" s="14">
        <v>37</v>
      </c>
      <c r="H143" s="14">
        <v>42</v>
      </c>
      <c r="I143" s="13">
        <v>2733</v>
      </c>
      <c r="J143" s="14">
        <v>53</v>
      </c>
      <c r="K143" s="14">
        <v>0</v>
      </c>
      <c r="L143" s="13">
        <v>4964</v>
      </c>
      <c r="M143" s="21">
        <v>0.40369831705796799</v>
      </c>
      <c r="N143" s="21">
        <v>0.59630168294203201</v>
      </c>
    </row>
    <row r="144" spans="1:14" x14ac:dyDescent="0.3">
      <c r="A144" s="17">
        <v>2008</v>
      </c>
      <c r="B144" s="13">
        <f t="shared" si="1"/>
        <v>5319</v>
      </c>
      <c r="C144" s="14">
        <v>2</v>
      </c>
      <c r="D144" s="14">
        <v>5</v>
      </c>
      <c r="E144" s="14">
        <v>2</v>
      </c>
      <c r="F144" s="13">
        <v>2058</v>
      </c>
      <c r="G144" s="14">
        <v>40</v>
      </c>
      <c r="H144" s="14">
        <v>44</v>
      </c>
      <c r="I144" s="13">
        <v>3109</v>
      </c>
      <c r="J144" s="14">
        <v>59</v>
      </c>
      <c r="K144" s="14">
        <v>0</v>
      </c>
      <c r="L144" s="13">
        <v>4643</v>
      </c>
      <c r="M144" s="21">
        <v>0.38766685467193079</v>
      </c>
      <c r="N144" s="21">
        <v>0.61233314532806915</v>
      </c>
    </row>
    <row r="145" spans="1:14" x14ac:dyDescent="0.3">
      <c r="A145" s="17">
        <v>2009</v>
      </c>
      <c r="B145" s="13">
        <f t="shared" si="1"/>
        <v>5617</v>
      </c>
      <c r="C145" s="14">
        <v>2</v>
      </c>
      <c r="D145" s="14">
        <v>4</v>
      </c>
      <c r="E145" s="14">
        <v>4</v>
      </c>
      <c r="F145" s="13">
        <v>2007</v>
      </c>
      <c r="G145" s="14">
        <v>44</v>
      </c>
      <c r="H145" s="14">
        <v>49</v>
      </c>
      <c r="I145" s="13">
        <v>3457</v>
      </c>
      <c r="J145" s="14">
        <v>50</v>
      </c>
      <c r="K145" s="14">
        <v>0</v>
      </c>
      <c r="L145" s="13">
        <v>4259</v>
      </c>
      <c r="M145" s="21">
        <v>0.35837635748620261</v>
      </c>
      <c r="N145" s="21">
        <v>0.64162364251379744</v>
      </c>
    </row>
    <row r="146" spans="1:14" x14ac:dyDescent="0.3">
      <c r="A146" s="17">
        <v>2010</v>
      </c>
      <c r="B146" s="13">
        <f t="shared" si="1"/>
        <v>6693</v>
      </c>
      <c r="C146" s="14">
        <v>2</v>
      </c>
      <c r="D146" s="14">
        <v>9</v>
      </c>
      <c r="E146" s="14">
        <v>2</v>
      </c>
      <c r="F146" s="13">
        <v>2988</v>
      </c>
      <c r="G146" s="14">
        <v>57</v>
      </c>
      <c r="H146" s="14">
        <v>66</v>
      </c>
      <c r="I146" s="13">
        <v>3520</v>
      </c>
      <c r="J146" s="14">
        <v>49</v>
      </c>
      <c r="K146" s="14">
        <v>0</v>
      </c>
      <c r="L146" s="13">
        <v>3973</v>
      </c>
      <c r="M146" s="21">
        <v>0.44703421485133721</v>
      </c>
      <c r="N146" s="21">
        <v>0.55296578514866279</v>
      </c>
    </row>
    <row r="147" spans="1:14" x14ac:dyDescent="0.3">
      <c r="A147" s="17">
        <v>2011</v>
      </c>
      <c r="B147" s="13">
        <f t="shared" si="1"/>
        <v>6212</v>
      </c>
      <c r="C147" s="14">
        <v>2</v>
      </c>
      <c r="D147" s="14">
        <v>13</v>
      </c>
      <c r="E147" s="14">
        <v>1</v>
      </c>
      <c r="F147" s="13">
        <v>3014</v>
      </c>
      <c r="G147" s="14">
        <v>105</v>
      </c>
      <c r="H147" s="14">
        <v>119</v>
      </c>
      <c r="I147" s="13">
        <v>2887</v>
      </c>
      <c r="J147" s="14">
        <v>71</v>
      </c>
      <c r="K147" s="14">
        <v>0</v>
      </c>
      <c r="L147" s="13">
        <v>4009</v>
      </c>
      <c r="M147" s="21">
        <v>0.48567289117836443</v>
      </c>
      <c r="N147" s="21">
        <v>0.51432710882163557</v>
      </c>
    </row>
    <row r="148" spans="1:14" x14ac:dyDescent="0.3">
      <c r="A148" s="17">
        <v>2012</v>
      </c>
      <c r="B148" s="13">
        <f t="shared" si="1"/>
        <v>6455</v>
      </c>
      <c r="C148" s="14">
        <v>2</v>
      </c>
      <c r="D148" s="14">
        <v>65</v>
      </c>
      <c r="E148" s="14">
        <v>1</v>
      </c>
      <c r="F148" s="13">
        <v>2055</v>
      </c>
      <c r="G148" s="14">
        <v>223</v>
      </c>
      <c r="H148" s="14">
        <v>288</v>
      </c>
      <c r="I148" s="13">
        <v>3707</v>
      </c>
      <c r="J148" s="14">
        <v>114</v>
      </c>
      <c r="K148" s="14">
        <v>0</v>
      </c>
      <c r="L148" s="13">
        <v>4935</v>
      </c>
      <c r="M148" s="21">
        <v>0.31882261812548413</v>
      </c>
      <c r="N148" s="21">
        <v>0.68117738187451593</v>
      </c>
    </row>
    <row r="149" spans="1:14" x14ac:dyDescent="0.3">
      <c r="A149" s="17">
        <v>2013</v>
      </c>
      <c r="B149" s="13">
        <f t="shared" si="1"/>
        <v>6712</v>
      </c>
      <c r="C149" s="14">
        <v>3</v>
      </c>
      <c r="D149" s="14">
        <v>215</v>
      </c>
      <c r="E149" s="14">
        <v>2</v>
      </c>
      <c r="F149" s="13">
        <v>2670</v>
      </c>
      <c r="G149" s="14">
        <v>288</v>
      </c>
      <c r="H149" s="14">
        <v>502</v>
      </c>
      <c r="I149" s="13">
        <v>2912</v>
      </c>
      <c r="J149" s="14">
        <v>120</v>
      </c>
      <c r="K149" s="14">
        <v>0</v>
      </c>
      <c r="L149" s="13">
        <v>5005</v>
      </c>
      <c r="M149" s="21">
        <v>0.39853992848629322</v>
      </c>
      <c r="N149" s="21">
        <v>0.60146007151370684</v>
      </c>
    </row>
    <row r="150" spans="1:14" x14ac:dyDescent="0.3">
      <c r="A150" s="17">
        <v>2014</v>
      </c>
      <c r="B150" s="13">
        <f t="shared" si="1"/>
        <v>5807</v>
      </c>
      <c r="C150" s="14">
        <v>0</v>
      </c>
      <c r="D150" s="14">
        <v>319</v>
      </c>
      <c r="E150" s="14">
        <v>0</v>
      </c>
      <c r="F150" s="13">
        <v>2337</v>
      </c>
      <c r="G150" s="14">
        <v>350</v>
      </c>
      <c r="H150" s="14">
        <v>669</v>
      </c>
      <c r="I150" s="13">
        <v>1993</v>
      </c>
      <c r="J150" s="14">
        <v>139</v>
      </c>
      <c r="K150" s="14">
        <v>0</v>
      </c>
      <c r="L150" s="13">
        <v>5340</v>
      </c>
      <c r="M150" s="21">
        <v>0.40244532460823146</v>
      </c>
      <c r="N150" s="21">
        <v>0.59755467539176854</v>
      </c>
    </row>
    <row r="151" spans="1:14" x14ac:dyDescent="0.3">
      <c r="A151" s="17">
        <v>2015</v>
      </c>
      <c r="B151" s="13">
        <f t="shared" si="1"/>
        <v>6303</v>
      </c>
      <c r="C151" s="14">
        <v>0</v>
      </c>
      <c r="D151" s="14">
        <v>378</v>
      </c>
      <c r="E151" s="14">
        <v>1</v>
      </c>
      <c r="F151" s="13">
        <v>2756</v>
      </c>
      <c r="G151" s="14">
        <v>392</v>
      </c>
      <c r="H151" s="14">
        <v>769</v>
      </c>
      <c r="I151" s="13">
        <v>1860</v>
      </c>
      <c r="J151" s="14">
        <v>147</v>
      </c>
      <c r="K151" s="14">
        <v>0</v>
      </c>
      <c r="L151" s="13">
        <v>5246</v>
      </c>
      <c r="M151" s="21">
        <v>0.43741075678248453</v>
      </c>
      <c r="N151" s="21">
        <v>0.56258924321751547</v>
      </c>
    </row>
    <row r="152" spans="1:14" x14ac:dyDescent="0.3">
      <c r="A152" s="17">
        <v>2016</v>
      </c>
      <c r="B152" s="13">
        <f t="shared" si="1"/>
        <v>7249</v>
      </c>
      <c r="C152" s="14">
        <v>0</v>
      </c>
      <c r="D152" s="14">
        <v>427</v>
      </c>
      <c r="E152" s="14">
        <v>0</v>
      </c>
      <c r="F152" s="13">
        <v>2944</v>
      </c>
      <c r="G152" s="14">
        <v>397</v>
      </c>
      <c r="H152" s="14">
        <v>823</v>
      </c>
      <c r="I152" s="13">
        <v>2530</v>
      </c>
      <c r="J152" s="14">
        <v>128</v>
      </c>
      <c r="K152" s="14">
        <v>0</v>
      </c>
      <c r="L152" s="13">
        <v>4828</v>
      </c>
      <c r="M152" s="21">
        <v>0.40612498275624226</v>
      </c>
      <c r="N152" s="21">
        <v>0.5938750172437578</v>
      </c>
    </row>
    <row r="153" spans="1:14" x14ac:dyDescent="0.3">
      <c r="A153" s="17">
        <v>2017</v>
      </c>
      <c r="B153" s="13">
        <f t="shared" si="1"/>
        <v>8459</v>
      </c>
      <c r="C153" s="14">
        <v>0</v>
      </c>
      <c r="D153" s="14">
        <v>525</v>
      </c>
      <c r="E153" s="14">
        <v>0</v>
      </c>
      <c r="F153" s="13">
        <v>2068</v>
      </c>
      <c r="G153" s="14">
        <v>405</v>
      </c>
      <c r="H153" s="14">
        <v>930</v>
      </c>
      <c r="I153" s="13">
        <v>4381</v>
      </c>
      <c r="J153" s="14">
        <v>150</v>
      </c>
      <c r="K153" s="14">
        <v>0</v>
      </c>
      <c r="L153" s="13">
        <v>4073</v>
      </c>
      <c r="M153" s="21">
        <v>0.24447334200260079</v>
      </c>
      <c r="N153" s="21">
        <v>0.75552665799739926</v>
      </c>
    </row>
    <row r="154" spans="1:14" x14ac:dyDescent="0.3">
      <c r="A154" s="17">
        <v>2018</v>
      </c>
      <c r="B154" s="13">
        <f t="shared" si="1"/>
        <v>7667</v>
      </c>
      <c r="C154" s="14">
        <v>7</v>
      </c>
      <c r="D154" s="14">
        <v>570</v>
      </c>
      <c r="E154" s="14">
        <v>0</v>
      </c>
      <c r="F154" s="13">
        <v>3218</v>
      </c>
      <c r="G154" s="14">
        <v>374</v>
      </c>
      <c r="H154" s="14">
        <v>943</v>
      </c>
      <c r="I154" s="13">
        <v>2432</v>
      </c>
      <c r="J154" s="14">
        <v>122</v>
      </c>
      <c r="K154" s="14">
        <v>1</v>
      </c>
      <c r="L154" s="13">
        <v>5174</v>
      </c>
      <c r="M154" s="21">
        <v>0.42063388548323988</v>
      </c>
      <c r="N154" s="21">
        <v>0.57936611451676012</v>
      </c>
    </row>
    <row r="155" spans="1:14" x14ac:dyDescent="0.3">
      <c r="A155" s="17">
        <v>2019</v>
      </c>
      <c r="B155" s="13">
        <f t="shared" si="1"/>
        <v>7365</v>
      </c>
      <c r="C155" s="14">
        <v>0</v>
      </c>
      <c r="D155" s="14">
        <v>575</v>
      </c>
      <c r="E155" s="14">
        <v>0</v>
      </c>
      <c r="F155" s="13">
        <v>3245</v>
      </c>
      <c r="G155" s="14">
        <v>353</v>
      </c>
      <c r="H155" s="14">
        <v>927</v>
      </c>
      <c r="I155" s="13">
        <v>2108</v>
      </c>
      <c r="J155" s="14">
        <v>154</v>
      </c>
      <c r="K155" s="14">
        <v>3</v>
      </c>
      <c r="L155" s="13">
        <v>4611</v>
      </c>
      <c r="M155" s="21">
        <v>0.44059742023082143</v>
      </c>
      <c r="N155" s="21">
        <v>0.55940257976917851</v>
      </c>
    </row>
    <row r="156" spans="1:14" x14ac:dyDescent="0.3">
      <c r="A156" s="17">
        <v>2020</v>
      </c>
      <c r="B156" s="13">
        <f t="shared" si="1"/>
        <v>6589</v>
      </c>
      <c r="C156" s="14">
        <v>0</v>
      </c>
      <c r="D156" s="14">
        <v>520</v>
      </c>
      <c r="E156" s="14">
        <v>0</v>
      </c>
      <c r="F156" s="13">
        <v>2075</v>
      </c>
      <c r="G156" s="14">
        <v>345</v>
      </c>
      <c r="H156" s="14">
        <v>864</v>
      </c>
      <c r="I156" s="13">
        <v>2603</v>
      </c>
      <c r="J156" s="14">
        <v>177</v>
      </c>
      <c r="K156" s="14">
        <v>5</v>
      </c>
      <c r="L156" s="13">
        <v>4173</v>
      </c>
      <c r="M156" s="21">
        <v>0.31491880406738504</v>
      </c>
      <c r="N156" s="21">
        <v>0.68508119593261496</v>
      </c>
    </row>
    <row r="157" spans="1:14" x14ac:dyDescent="0.3">
      <c r="A157" s="17">
        <v>2021</v>
      </c>
      <c r="B157" s="13">
        <f t="shared" si="1"/>
        <v>6707</v>
      </c>
      <c r="C157" s="14">
        <v>0</v>
      </c>
      <c r="D157" s="14">
        <v>570</v>
      </c>
      <c r="E157" s="14">
        <v>0</v>
      </c>
      <c r="F157" s="13">
        <v>2128</v>
      </c>
      <c r="G157" s="14">
        <v>292</v>
      </c>
      <c r="H157" s="14">
        <v>861</v>
      </c>
      <c r="I157" s="13">
        <v>2708</v>
      </c>
      <c r="J157" s="14">
        <v>141</v>
      </c>
      <c r="K157" s="14">
        <v>7</v>
      </c>
      <c r="L157" s="13">
        <v>4666</v>
      </c>
      <c r="M157" s="21">
        <v>0.31728045325779036</v>
      </c>
      <c r="N157" s="21">
        <v>0.68271954674220958</v>
      </c>
    </row>
    <row r="158" spans="1:14" x14ac:dyDescent="0.3">
      <c r="A158" s="17">
        <v>2022</v>
      </c>
      <c r="B158" s="13">
        <f t="shared" si="1"/>
        <v>5831</v>
      </c>
      <c r="C158" s="14">
        <v>0</v>
      </c>
      <c r="D158" s="14">
        <v>552</v>
      </c>
      <c r="E158" s="14">
        <v>3</v>
      </c>
      <c r="F158" s="13">
        <v>1210</v>
      </c>
      <c r="G158" s="14">
        <v>250</v>
      </c>
      <c r="H158" s="14">
        <v>801</v>
      </c>
      <c r="I158" s="13">
        <v>2750</v>
      </c>
      <c r="J158" s="14">
        <v>190</v>
      </c>
      <c r="K158" s="14">
        <v>75</v>
      </c>
      <c r="L158" s="13">
        <v>5308</v>
      </c>
      <c r="M158" s="21">
        <v>0.20802606756988509</v>
      </c>
      <c r="N158" s="21">
        <v>0.79197393243011494</v>
      </c>
    </row>
    <row r="159" spans="1:14" x14ac:dyDescent="0.3">
      <c r="A159" s="17">
        <v>2023</v>
      </c>
      <c r="B159" s="13">
        <f t="shared" si="1"/>
        <v>7045</v>
      </c>
      <c r="C159" s="14">
        <v>0</v>
      </c>
      <c r="D159" s="14">
        <v>477</v>
      </c>
      <c r="E159" s="14">
        <v>2</v>
      </c>
      <c r="F159" s="13">
        <v>1421</v>
      </c>
      <c r="G159" s="14">
        <v>182</v>
      </c>
      <c r="H159" s="14">
        <v>659</v>
      </c>
      <c r="I159" s="13">
        <v>3794</v>
      </c>
      <c r="J159" s="14">
        <v>271</v>
      </c>
      <c r="K159" s="14">
        <v>239</v>
      </c>
      <c r="L159" s="13">
        <v>4075</v>
      </c>
      <c r="M159" s="21">
        <v>0.20198722498225691</v>
      </c>
      <c r="N159" s="21">
        <v>0.79801277501774304</v>
      </c>
    </row>
    <row r="160" spans="1:14" x14ac:dyDescent="0.3">
      <c r="A160" s="17">
        <v>2024</v>
      </c>
      <c r="B160" s="13">
        <f t="shared" si="1"/>
        <v>6942</v>
      </c>
      <c r="C160" s="14">
        <v>0</v>
      </c>
      <c r="D160" s="14">
        <v>457</v>
      </c>
      <c r="E160" s="14">
        <v>0</v>
      </c>
      <c r="F160" s="13">
        <v>1678</v>
      </c>
      <c r="G160" s="14">
        <v>164</v>
      </c>
      <c r="H160" s="14">
        <v>621</v>
      </c>
      <c r="I160" s="13">
        <v>3210</v>
      </c>
      <c r="J160" s="14">
        <v>276</v>
      </c>
      <c r="K160" s="14">
        <v>536</v>
      </c>
      <c r="L160" s="13">
        <v>4248</v>
      </c>
      <c r="M160" s="21">
        <v>0.24171708441371362</v>
      </c>
      <c r="N160" s="21">
        <v>0.75828291558628635</v>
      </c>
    </row>
    <row r="162" spans="1:6" ht="18" customHeight="1" x14ac:dyDescent="0.3">
      <c r="A162" s="10" t="s">
        <v>343</v>
      </c>
    </row>
    <row r="163" spans="1:6" ht="32" customHeight="1" x14ac:dyDescent="0.3">
      <c r="A163" s="11" t="s">
        <v>342</v>
      </c>
      <c r="B163" s="11" t="s">
        <v>341</v>
      </c>
      <c r="C163" s="11" t="s">
        <v>340</v>
      </c>
      <c r="D163" s="11" t="s">
        <v>241</v>
      </c>
      <c r="E163" s="11" t="s">
        <v>339</v>
      </c>
      <c r="F163" s="11" t="s">
        <v>338</v>
      </c>
    </row>
    <row r="164" spans="1:6" x14ac:dyDescent="0.3">
      <c r="A164" s="17">
        <v>2000</v>
      </c>
      <c r="B164" s="13">
        <f t="shared" ref="B164:B188" si="2">C136+E136+F136</f>
        <v>1313</v>
      </c>
      <c r="C164" s="13">
        <f t="shared" ref="C164:C188" si="3">D136+G136+I136+J136+K136+H136</f>
        <v>2824</v>
      </c>
      <c r="D164" s="13">
        <f t="shared" ref="D164:D188" si="4">B164+C164</f>
        <v>4137</v>
      </c>
      <c r="E164" s="21">
        <f t="shared" ref="E164:E188" si="5">B164/D164</f>
        <v>0.31737974377568284</v>
      </c>
      <c r="F164" s="21">
        <f t="shared" ref="F164:F188" si="6">C164/D164</f>
        <v>0.6826202562243171</v>
      </c>
    </row>
    <row r="165" spans="1:6" x14ac:dyDescent="0.3">
      <c r="A165" s="17">
        <v>2001</v>
      </c>
      <c r="B165" s="13">
        <f t="shared" si="2"/>
        <v>1441</v>
      </c>
      <c r="C165" s="13">
        <f t="shared" si="3"/>
        <v>2842</v>
      </c>
      <c r="D165" s="13">
        <f t="shared" si="4"/>
        <v>4283</v>
      </c>
      <c r="E165" s="21">
        <f t="shared" si="5"/>
        <v>0.33644641606350689</v>
      </c>
      <c r="F165" s="21">
        <f t="shared" si="6"/>
        <v>0.66355358393649311</v>
      </c>
    </row>
    <row r="166" spans="1:6" x14ac:dyDescent="0.3">
      <c r="A166" s="17">
        <v>2002</v>
      </c>
      <c r="B166" s="13">
        <f t="shared" si="2"/>
        <v>1490</v>
      </c>
      <c r="C166" s="13">
        <f t="shared" si="3"/>
        <v>2495</v>
      </c>
      <c r="D166" s="13">
        <f t="shared" si="4"/>
        <v>3985</v>
      </c>
      <c r="E166" s="21">
        <f t="shared" si="5"/>
        <v>0.37390213299874531</v>
      </c>
      <c r="F166" s="21">
        <f t="shared" si="6"/>
        <v>0.62609786700125469</v>
      </c>
    </row>
    <row r="167" spans="1:6" x14ac:dyDescent="0.3">
      <c r="A167" s="17">
        <v>2003</v>
      </c>
      <c r="B167" s="13">
        <f t="shared" si="2"/>
        <v>1637</v>
      </c>
      <c r="C167" s="13">
        <f t="shared" si="3"/>
        <v>2362</v>
      </c>
      <c r="D167" s="13">
        <f t="shared" si="4"/>
        <v>3999</v>
      </c>
      <c r="E167" s="21">
        <f t="shared" si="5"/>
        <v>0.40935233808452115</v>
      </c>
      <c r="F167" s="21">
        <f t="shared" si="6"/>
        <v>0.59064766191547891</v>
      </c>
    </row>
    <row r="168" spans="1:6" x14ac:dyDescent="0.3">
      <c r="A168" s="17">
        <v>2004</v>
      </c>
      <c r="B168" s="13">
        <f t="shared" si="2"/>
        <v>1493</v>
      </c>
      <c r="C168" s="13">
        <f t="shared" si="3"/>
        <v>3234</v>
      </c>
      <c r="D168" s="13">
        <f t="shared" si="4"/>
        <v>4727</v>
      </c>
      <c r="E168" s="21">
        <f t="shared" si="5"/>
        <v>0.3158451449122065</v>
      </c>
      <c r="F168" s="21">
        <f t="shared" si="6"/>
        <v>0.6841548550877935</v>
      </c>
    </row>
    <row r="169" spans="1:6" x14ac:dyDescent="0.3">
      <c r="A169" s="17">
        <v>2005</v>
      </c>
      <c r="B169" s="13">
        <f t="shared" si="2"/>
        <v>1492</v>
      </c>
      <c r="C169" s="13">
        <f t="shared" si="3"/>
        <v>3455</v>
      </c>
      <c r="D169" s="13">
        <f t="shared" si="4"/>
        <v>4947</v>
      </c>
      <c r="E169" s="21">
        <f t="shared" si="5"/>
        <v>0.3015969274307661</v>
      </c>
      <c r="F169" s="21">
        <f t="shared" si="6"/>
        <v>0.69840307256923384</v>
      </c>
    </row>
    <row r="170" spans="1:6" x14ac:dyDescent="0.3">
      <c r="A170" s="17">
        <v>2006</v>
      </c>
      <c r="B170" s="13">
        <f t="shared" si="2"/>
        <v>2105</v>
      </c>
      <c r="C170" s="13">
        <f t="shared" si="3"/>
        <v>2829</v>
      </c>
      <c r="D170" s="13">
        <f t="shared" si="4"/>
        <v>4934</v>
      </c>
      <c r="E170" s="21">
        <f t="shared" si="5"/>
        <v>0.42663153627888123</v>
      </c>
      <c r="F170" s="21">
        <f t="shared" si="6"/>
        <v>0.57336846372111872</v>
      </c>
    </row>
    <row r="171" spans="1:6" x14ac:dyDescent="0.3">
      <c r="A171" s="17">
        <v>2007</v>
      </c>
      <c r="B171" s="13">
        <f t="shared" si="2"/>
        <v>1943</v>
      </c>
      <c r="C171" s="13">
        <f t="shared" si="3"/>
        <v>2870</v>
      </c>
      <c r="D171" s="13">
        <f t="shared" si="4"/>
        <v>4813</v>
      </c>
      <c r="E171" s="21">
        <f t="shared" si="5"/>
        <v>0.40369831705796799</v>
      </c>
      <c r="F171" s="21">
        <f t="shared" si="6"/>
        <v>0.59630168294203201</v>
      </c>
    </row>
    <row r="172" spans="1:6" x14ac:dyDescent="0.3">
      <c r="A172" s="17">
        <v>2008</v>
      </c>
      <c r="B172" s="13">
        <f t="shared" si="2"/>
        <v>2062</v>
      </c>
      <c r="C172" s="13">
        <f t="shared" si="3"/>
        <v>3257</v>
      </c>
      <c r="D172" s="13">
        <f t="shared" si="4"/>
        <v>5319</v>
      </c>
      <c r="E172" s="21">
        <f t="shared" si="5"/>
        <v>0.38766685467193079</v>
      </c>
      <c r="F172" s="21">
        <f t="shared" si="6"/>
        <v>0.61233314532806915</v>
      </c>
    </row>
    <row r="173" spans="1:6" x14ac:dyDescent="0.3">
      <c r="A173" s="17">
        <v>2009</v>
      </c>
      <c r="B173" s="13">
        <f t="shared" si="2"/>
        <v>2013</v>
      </c>
      <c r="C173" s="13">
        <f t="shared" si="3"/>
        <v>3604</v>
      </c>
      <c r="D173" s="13">
        <f t="shared" si="4"/>
        <v>5617</v>
      </c>
      <c r="E173" s="21">
        <f t="shared" si="5"/>
        <v>0.35837635748620261</v>
      </c>
      <c r="F173" s="21">
        <f t="shared" si="6"/>
        <v>0.64162364251379744</v>
      </c>
    </row>
    <row r="174" spans="1:6" x14ac:dyDescent="0.3">
      <c r="A174" s="17">
        <v>2010</v>
      </c>
      <c r="B174" s="13">
        <f t="shared" si="2"/>
        <v>2992</v>
      </c>
      <c r="C174" s="13">
        <f t="shared" si="3"/>
        <v>3701</v>
      </c>
      <c r="D174" s="13">
        <f t="shared" si="4"/>
        <v>6693</v>
      </c>
      <c r="E174" s="21">
        <f t="shared" si="5"/>
        <v>0.44703421485133721</v>
      </c>
      <c r="F174" s="21">
        <f t="shared" si="6"/>
        <v>0.55296578514866279</v>
      </c>
    </row>
    <row r="175" spans="1:6" x14ac:dyDescent="0.3">
      <c r="A175" s="17">
        <v>2011</v>
      </c>
      <c r="B175" s="13">
        <f t="shared" si="2"/>
        <v>3017</v>
      </c>
      <c r="C175" s="13">
        <f t="shared" si="3"/>
        <v>3195</v>
      </c>
      <c r="D175" s="13">
        <f t="shared" si="4"/>
        <v>6212</v>
      </c>
      <c r="E175" s="21">
        <f t="shared" si="5"/>
        <v>0.48567289117836443</v>
      </c>
      <c r="F175" s="21">
        <f t="shared" si="6"/>
        <v>0.51432710882163557</v>
      </c>
    </row>
    <row r="176" spans="1:6" x14ac:dyDescent="0.3">
      <c r="A176" s="17">
        <v>2012</v>
      </c>
      <c r="B176" s="13">
        <f t="shared" si="2"/>
        <v>2058</v>
      </c>
      <c r="C176" s="13">
        <f t="shared" si="3"/>
        <v>4397</v>
      </c>
      <c r="D176" s="13">
        <f t="shared" si="4"/>
        <v>6455</v>
      </c>
      <c r="E176" s="21">
        <f t="shared" si="5"/>
        <v>0.31882261812548413</v>
      </c>
      <c r="F176" s="21">
        <f t="shared" si="6"/>
        <v>0.68117738187451593</v>
      </c>
    </row>
    <row r="177" spans="1:6" x14ac:dyDescent="0.3">
      <c r="A177" s="17">
        <v>2013</v>
      </c>
      <c r="B177" s="13">
        <f t="shared" si="2"/>
        <v>2675</v>
      </c>
      <c r="C177" s="13">
        <f t="shared" si="3"/>
        <v>4037</v>
      </c>
      <c r="D177" s="13">
        <f t="shared" si="4"/>
        <v>6712</v>
      </c>
      <c r="E177" s="21">
        <f t="shared" si="5"/>
        <v>0.39853992848629322</v>
      </c>
      <c r="F177" s="21">
        <f t="shared" si="6"/>
        <v>0.60146007151370684</v>
      </c>
    </row>
    <row r="178" spans="1:6" x14ac:dyDescent="0.3">
      <c r="A178" s="17">
        <v>2014</v>
      </c>
      <c r="B178" s="13">
        <f t="shared" si="2"/>
        <v>2337</v>
      </c>
      <c r="C178" s="13">
        <f t="shared" si="3"/>
        <v>3470</v>
      </c>
      <c r="D178" s="13">
        <f t="shared" si="4"/>
        <v>5807</v>
      </c>
      <c r="E178" s="21">
        <f t="shared" si="5"/>
        <v>0.40244532460823146</v>
      </c>
      <c r="F178" s="21">
        <f t="shared" si="6"/>
        <v>0.59755467539176854</v>
      </c>
    </row>
    <row r="179" spans="1:6" x14ac:dyDescent="0.3">
      <c r="A179" s="17">
        <v>2015</v>
      </c>
      <c r="B179" s="13">
        <f t="shared" si="2"/>
        <v>2757</v>
      </c>
      <c r="C179" s="13">
        <f t="shared" si="3"/>
        <v>3546</v>
      </c>
      <c r="D179" s="13">
        <f t="shared" si="4"/>
        <v>6303</v>
      </c>
      <c r="E179" s="21">
        <f t="shared" si="5"/>
        <v>0.43741075678248453</v>
      </c>
      <c r="F179" s="21">
        <f t="shared" si="6"/>
        <v>0.56258924321751547</v>
      </c>
    </row>
    <row r="180" spans="1:6" x14ac:dyDescent="0.3">
      <c r="A180" s="17">
        <v>2016</v>
      </c>
      <c r="B180" s="13">
        <f t="shared" si="2"/>
        <v>2944</v>
      </c>
      <c r="C180" s="13">
        <f t="shared" si="3"/>
        <v>4305</v>
      </c>
      <c r="D180" s="13">
        <f t="shared" si="4"/>
        <v>7249</v>
      </c>
      <c r="E180" s="21">
        <f t="shared" si="5"/>
        <v>0.40612498275624226</v>
      </c>
      <c r="F180" s="21">
        <f t="shared" si="6"/>
        <v>0.5938750172437578</v>
      </c>
    </row>
    <row r="181" spans="1:6" x14ac:dyDescent="0.3">
      <c r="A181" s="17">
        <v>2017</v>
      </c>
      <c r="B181" s="13">
        <f t="shared" si="2"/>
        <v>2068</v>
      </c>
      <c r="C181" s="13">
        <f t="shared" si="3"/>
        <v>6391</v>
      </c>
      <c r="D181" s="13">
        <f t="shared" si="4"/>
        <v>8459</v>
      </c>
      <c r="E181" s="21">
        <f t="shared" si="5"/>
        <v>0.24447334200260079</v>
      </c>
      <c r="F181" s="21">
        <f t="shared" si="6"/>
        <v>0.75552665799739926</v>
      </c>
    </row>
    <row r="182" spans="1:6" x14ac:dyDescent="0.3">
      <c r="A182" s="17">
        <v>2018</v>
      </c>
      <c r="B182" s="13">
        <f t="shared" si="2"/>
        <v>3225</v>
      </c>
      <c r="C182" s="13">
        <f t="shared" si="3"/>
        <v>4442</v>
      </c>
      <c r="D182" s="13">
        <f t="shared" si="4"/>
        <v>7667</v>
      </c>
      <c r="E182" s="21">
        <f t="shared" si="5"/>
        <v>0.42063388548323988</v>
      </c>
      <c r="F182" s="21">
        <f t="shared" si="6"/>
        <v>0.57936611451676012</v>
      </c>
    </row>
    <row r="183" spans="1:6" x14ac:dyDescent="0.3">
      <c r="A183" s="17">
        <v>2019</v>
      </c>
      <c r="B183" s="13">
        <f t="shared" si="2"/>
        <v>3245</v>
      </c>
      <c r="C183" s="13">
        <f t="shared" si="3"/>
        <v>4120</v>
      </c>
      <c r="D183" s="13">
        <f t="shared" si="4"/>
        <v>7365</v>
      </c>
      <c r="E183" s="21">
        <f t="shared" si="5"/>
        <v>0.44059742023082143</v>
      </c>
      <c r="F183" s="21">
        <f t="shared" si="6"/>
        <v>0.55940257976917851</v>
      </c>
    </row>
    <row r="184" spans="1:6" x14ac:dyDescent="0.3">
      <c r="A184" s="17">
        <v>2020</v>
      </c>
      <c r="B184" s="13">
        <f t="shared" si="2"/>
        <v>2075</v>
      </c>
      <c r="C184" s="13">
        <f t="shared" si="3"/>
        <v>4514</v>
      </c>
      <c r="D184" s="13">
        <f t="shared" si="4"/>
        <v>6589</v>
      </c>
      <c r="E184" s="21">
        <f t="shared" si="5"/>
        <v>0.31491880406738504</v>
      </c>
      <c r="F184" s="21">
        <f t="shared" si="6"/>
        <v>0.68508119593261496</v>
      </c>
    </row>
    <row r="185" spans="1:6" x14ac:dyDescent="0.3">
      <c r="A185" s="17">
        <v>2021</v>
      </c>
      <c r="B185" s="13">
        <f t="shared" si="2"/>
        <v>2128</v>
      </c>
      <c r="C185" s="13">
        <f t="shared" si="3"/>
        <v>4579</v>
      </c>
      <c r="D185" s="13">
        <f t="shared" si="4"/>
        <v>6707</v>
      </c>
      <c r="E185" s="21">
        <f t="shared" si="5"/>
        <v>0.31728045325779036</v>
      </c>
      <c r="F185" s="21">
        <f t="shared" si="6"/>
        <v>0.68271954674220958</v>
      </c>
    </row>
    <row r="186" spans="1:6" x14ac:dyDescent="0.3">
      <c r="A186" s="17">
        <v>2022</v>
      </c>
      <c r="B186" s="13">
        <f t="shared" si="2"/>
        <v>1213</v>
      </c>
      <c r="C186" s="13">
        <f t="shared" si="3"/>
        <v>4618</v>
      </c>
      <c r="D186" s="13">
        <f t="shared" si="4"/>
        <v>5831</v>
      </c>
      <c r="E186" s="21">
        <f t="shared" si="5"/>
        <v>0.20802606756988509</v>
      </c>
      <c r="F186" s="21">
        <f t="shared" si="6"/>
        <v>0.79197393243011494</v>
      </c>
    </row>
    <row r="187" spans="1:6" x14ac:dyDescent="0.3">
      <c r="A187" s="17">
        <v>2023</v>
      </c>
      <c r="B187" s="13">
        <f t="shared" si="2"/>
        <v>1423</v>
      </c>
      <c r="C187" s="13">
        <f t="shared" si="3"/>
        <v>5622</v>
      </c>
      <c r="D187" s="13">
        <f t="shared" si="4"/>
        <v>7045</v>
      </c>
      <c r="E187" s="21">
        <f t="shared" si="5"/>
        <v>0.20198722498225691</v>
      </c>
      <c r="F187" s="21">
        <f t="shared" si="6"/>
        <v>0.79801277501774304</v>
      </c>
    </row>
    <row r="188" spans="1:6" x14ac:dyDescent="0.3">
      <c r="A188" s="17">
        <v>2024</v>
      </c>
      <c r="B188" s="13">
        <f t="shared" si="2"/>
        <v>1678</v>
      </c>
      <c r="C188" s="13">
        <f t="shared" si="3"/>
        <v>5264</v>
      </c>
      <c r="D188" s="13">
        <f t="shared" si="4"/>
        <v>6942</v>
      </c>
      <c r="E188" s="21">
        <f t="shared" si="5"/>
        <v>0.24171708441371362</v>
      </c>
      <c r="F188" s="21">
        <f t="shared" si="6"/>
        <v>0.75828291558628635</v>
      </c>
    </row>
    <row r="190" spans="1:6" ht="18" customHeight="1" x14ac:dyDescent="0.3">
      <c r="A190" s="10" t="s">
        <v>642</v>
      </c>
    </row>
    <row r="191" spans="1:6" ht="58" customHeight="1" x14ac:dyDescent="0.3">
      <c r="A191" s="11" t="s">
        <v>73</v>
      </c>
      <c r="B191" s="11" t="s">
        <v>282</v>
      </c>
      <c r="C191" s="11" t="s">
        <v>336</v>
      </c>
    </row>
    <row r="192" spans="1:6" x14ac:dyDescent="0.3">
      <c r="A192" s="17">
        <v>2000</v>
      </c>
      <c r="B192" s="18">
        <v>4476.948026</v>
      </c>
      <c r="C192" s="21">
        <v>0.116685007674264</v>
      </c>
    </row>
    <row r="193" spans="1:3" x14ac:dyDescent="0.3">
      <c r="A193" s="17">
        <v>2001</v>
      </c>
      <c r="B193" s="18">
        <v>4582</v>
      </c>
      <c r="C193" s="21">
        <v>0.10925755458573121</v>
      </c>
    </row>
    <row r="194" spans="1:3" x14ac:dyDescent="0.3">
      <c r="A194" s="17">
        <v>2002</v>
      </c>
      <c r="B194" s="18">
        <v>4881</v>
      </c>
      <c r="C194" s="21">
        <v>0.11456303085216644</v>
      </c>
    </row>
    <row r="195" spans="1:3" x14ac:dyDescent="0.3">
      <c r="A195" s="17">
        <v>2003</v>
      </c>
      <c r="B195" s="18">
        <v>5200</v>
      </c>
      <c r="C195" s="21">
        <v>0.11654310843868462</v>
      </c>
    </row>
    <row r="196" spans="1:3" x14ac:dyDescent="0.3">
      <c r="A196" s="17">
        <v>2004</v>
      </c>
      <c r="B196" s="18">
        <v>5404</v>
      </c>
      <c r="C196" s="21">
        <v>0.11791589385508722</v>
      </c>
    </row>
    <row r="197" spans="1:3" x14ac:dyDescent="0.3">
      <c r="A197" s="17">
        <v>2005</v>
      </c>
      <c r="B197" s="18">
        <v>5729</v>
      </c>
      <c r="C197" s="21">
        <v>0.12128554206239527</v>
      </c>
    </row>
    <row r="198" spans="1:3" x14ac:dyDescent="0.3">
      <c r="A198" s="17">
        <v>2006</v>
      </c>
      <c r="B198" s="18">
        <v>6142</v>
      </c>
      <c r="C198" s="21">
        <v>0.12472223162216732</v>
      </c>
    </row>
    <row r="199" spans="1:3" x14ac:dyDescent="0.3">
      <c r="A199" s="17">
        <v>2007</v>
      </c>
      <c r="B199" s="18">
        <v>6605</v>
      </c>
      <c r="C199" s="21">
        <v>0.12948876413671434</v>
      </c>
    </row>
    <row r="200" spans="1:3" x14ac:dyDescent="0.3">
      <c r="A200" s="17">
        <v>2008</v>
      </c>
      <c r="B200" s="18">
        <v>6628</v>
      </c>
      <c r="C200" s="21">
        <v>0.13</v>
      </c>
    </row>
    <row r="201" spans="1:3" x14ac:dyDescent="0.3">
      <c r="A201" s="17">
        <v>2009</v>
      </c>
      <c r="B201" s="18">
        <v>6103</v>
      </c>
      <c r="C201" s="21">
        <v>0.13</v>
      </c>
    </row>
    <row r="202" spans="1:3" x14ac:dyDescent="0.3">
      <c r="A202" s="17">
        <v>2010</v>
      </c>
      <c r="B202" s="18">
        <v>6215</v>
      </c>
      <c r="C202" s="21">
        <v>0.13</v>
      </c>
    </row>
    <row r="203" spans="1:3" x14ac:dyDescent="0.3">
      <c r="A203" s="17">
        <v>2011</v>
      </c>
      <c r="B203" s="18">
        <v>6191</v>
      </c>
      <c r="C203" s="21">
        <v>0.13</v>
      </c>
    </row>
    <row r="204" spans="1:3" x14ac:dyDescent="0.3">
      <c r="A204" s="17">
        <v>2012</v>
      </c>
      <c r="B204" s="18">
        <v>6848</v>
      </c>
      <c r="C204" s="21">
        <v>0.14000000000000001</v>
      </c>
    </row>
    <row r="205" spans="1:3" x14ac:dyDescent="0.3">
      <c r="A205" s="17">
        <v>2013</v>
      </c>
      <c r="B205" s="18">
        <v>6576</v>
      </c>
      <c r="C205" s="21">
        <v>0.14000000000000001</v>
      </c>
    </row>
    <row r="206" spans="1:3" x14ac:dyDescent="0.3">
      <c r="A206" s="17">
        <v>2014</v>
      </c>
      <c r="B206" s="18">
        <v>6583</v>
      </c>
      <c r="C206" s="21">
        <v>0.14000000000000001</v>
      </c>
    </row>
    <row r="207" spans="1:3" x14ac:dyDescent="0.3">
      <c r="A207" s="17">
        <v>2015</v>
      </c>
      <c r="B207" s="18">
        <v>6462</v>
      </c>
      <c r="C207" s="21">
        <v>0.14000000000000001</v>
      </c>
    </row>
    <row r="208" spans="1:3" x14ac:dyDescent="0.3">
      <c r="A208" s="17">
        <v>2016</v>
      </c>
      <c r="B208" s="18">
        <v>6482</v>
      </c>
      <c r="C208" s="21">
        <v>0.14000000000000001</v>
      </c>
    </row>
    <row r="209" spans="1:26" x14ac:dyDescent="0.3">
      <c r="A209" s="17">
        <v>2017</v>
      </c>
      <c r="B209" s="18">
        <v>6485</v>
      </c>
      <c r="C209" s="21">
        <v>0.14000000000000001</v>
      </c>
    </row>
    <row r="210" spans="1:26" x14ac:dyDescent="0.3">
      <c r="A210" s="17">
        <v>2018</v>
      </c>
      <c r="B210" s="18">
        <v>6662</v>
      </c>
      <c r="C210" s="21">
        <v>0.13</v>
      </c>
    </row>
    <row r="211" spans="1:26" x14ac:dyDescent="0.3">
      <c r="A211" s="17">
        <v>2019</v>
      </c>
      <c r="B211" s="18">
        <v>6636</v>
      </c>
      <c r="C211" s="21">
        <v>0.14000000000000001</v>
      </c>
    </row>
    <row r="212" spans="1:26" x14ac:dyDescent="0.3">
      <c r="A212" s="17">
        <v>2020</v>
      </c>
      <c r="B212" s="18">
        <v>6484</v>
      </c>
      <c r="C212" s="21">
        <v>0.14000000000000001</v>
      </c>
    </row>
    <row r="213" spans="1:26" x14ac:dyDescent="0.3">
      <c r="A213" s="17">
        <v>2021</v>
      </c>
      <c r="B213" s="18">
        <v>6701</v>
      </c>
      <c r="C213" s="21">
        <v>0.14000000000000001</v>
      </c>
    </row>
    <row r="214" spans="1:26" x14ac:dyDescent="0.3">
      <c r="A214" s="17">
        <v>2022</v>
      </c>
      <c r="B214" s="18">
        <v>6465</v>
      </c>
      <c r="C214" s="21">
        <v>0.14000000000000001</v>
      </c>
    </row>
    <row r="215" spans="1:26" x14ac:dyDescent="0.3">
      <c r="A215" s="17">
        <v>2023</v>
      </c>
      <c r="B215" s="18">
        <v>6281</v>
      </c>
      <c r="C215" s="21">
        <v>0.14000000000000001</v>
      </c>
    </row>
    <row r="216" spans="1:26" x14ac:dyDescent="0.3">
      <c r="A216" s="17">
        <v>2024</v>
      </c>
      <c r="B216" s="18">
        <v>6513</v>
      </c>
      <c r="C216" s="21">
        <v>0.14000000000000001</v>
      </c>
    </row>
    <row r="218" spans="1:26" x14ac:dyDescent="0.3">
      <c r="A218" s="78" t="s">
        <v>335</v>
      </c>
      <c r="B218" s="78"/>
      <c r="C218" s="78"/>
      <c r="D218" s="78"/>
    </row>
    <row r="220" spans="1:26" ht="18" customHeight="1" x14ac:dyDescent="0.3">
      <c r="A220" s="10" t="s">
        <v>202</v>
      </c>
    </row>
    <row r="221" spans="1:26" ht="19" customHeight="1" x14ac:dyDescent="0.3">
      <c r="A221" s="22" t="s">
        <v>203</v>
      </c>
      <c r="B221" s="11">
        <v>2000</v>
      </c>
      <c r="C221" s="11">
        <v>2001</v>
      </c>
      <c r="D221" s="11">
        <v>2002</v>
      </c>
      <c r="E221" s="11">
        <v>2003</v>
      </c>
      <c r="F221" s="11">
        <v>2004</v>
      </c>
      <c r="G221" s="11">
        <v>2005</v>
      </c>
      <c r="H221" s="11">
        <v>2006</v>
      </c>
      <c r="I221" s="11">
        <v>2007</v>
      </c>
      <c r="J221" s="11">
        <v>2008</v>
      </c>
      <c r="K221" s="11">
        <v>2009</v>
      </c>
      <c r="L221" s="11">
        <v>2010</v>
      </c>
      <c r="M221" s="11">
        <v>2011</v>
      </c>
      <c r="N221" s="11">
        <v>2012</v>
      </c>
      <c r="O221" s="11">
        <v>2013</v>
      </c>
      <c r="P221" s="11">
        <v>2014</v>
      </c>
      <c r="Q221" s="11">
        <v>2015</v>
      </c>
      <c r="R221" s="11">
        <v>2016</v>
      </c>
      <c r="S221" s="11">
        <v>2017</v>
      </c>
      <c r="T221" s="11">
        <v>2018</v>
      </c>
      <c r="U221" s="11">
        <v>2019</v>
      </c>
      <c r="V221" s="11">
        <v>2020</v>
      </c>
      <c r="W221" s="11">
        <v>2021</v>
      </c>
      <c r="X221" s="11">
        <v>2022</v>
      </c>
      <c r="Y221" s="11">
        <v>2023</v>
      </c>
      <c r="Z221" s="11">
        <v>2024</v>
      </c>
    </row>
    <row r="222" spans="1:26" x14ac:dyDescent="0.3">
      <c r="A222" s="23" t="s">
        <v>204</v>
      </c>
      <c r="B222" s="13">
        <v>6686</v>
      </c>
      <c r="C222" s="13">
        <v>7109</v>
      </c>
      <c r="D222" s="13">
        <v>7212</v>
      </c>
      <c r="E222" s="13">
        <v>7296</v>
      </c>
      <c r="F222" s="13">
        <v>7781</v>
      </c>
      <c r="G222" s="13">
        <v>8199</v>
      </c>
      <c r="H222" s="13">
        <v>8627</v>
      </c>
      <c r="I222" s="13">
        <v>8416</v>
      </c>
      <c r="J222" s="13">
        <v>8983</v>
      </c>
      <c r="K222" s="13">
        <v>8302</v>
      </c>
      <c r="L222" s="13">
        <v>9694</v>
      </c>
      <c r="M222" s="13">
        <v>9607</v>
      </c>
      <c r="N222" s="13">
        <v>10540</v>
      </c>
      <c r="O222" s="13">
        <v>9934</v>
      </c>
      <c r="P222" s="13">
        <v>10120</v>
      </c>
      <c r="Q222" s="18">
        <v>9161.8809999999994</v>
      </c>
      <c r="R222" s="18">
        <v>8710.3310000000001</v>
      </c>
      <c r="S222" s="18">
        <v>9226.1560000000009</v>
      </c>
      <c r="T222" s="18">
        <v>10441.941999999999</v>
      </c>
      <c r="U222" s="18">
        <v>9917.0669999999991</v>
      </c>
      <c r="V222" s="18">
        <v>10128.358</v>
      </c>
      <c r="W222" s="18">
        <v>10398.605</v>
      </c>
      <c r="X222" s="18">
        <v>10550.441999999999</v>
      </c>
      <c r="Y222" s="18">
        <v>10715.771000000001</v>
      </c>
      <c r="Z222" s="18">
        <v>10702.306</v>
      </c>
    </row>
    <row r="223" spans="1:26" x14ac:dyDescent="0.3">
      <c r="A223" s="23" t="s">
        <v>205</v>
      </c>
      <c r="B223" s="21">
        <v>0.21430945653980388</v>
      </c>
      <c r="C223" s="21">
        <v>0.21732504981830969</v>
      </c>
      <c r="D223" s="21">
        <v>0.21157846082736306</v>
      </c>
      <c r="E223" s="21">
        <v>0.21998020254321177</v>
      </c>
      <c r="F223" s="21">
        <v>0.20998893291921031</v>
      </c>
      <c r="G223" s="21">
        <v>0.20734516872204906</v>
      </c>
      <c r="H223" s="21">
        <v>0.20388974755280787</v>
      </c>
      <c r="I223" s="21">
        <v>0.21574969470939637</v>
      </c>
      <c r="J223" s="21">
        <v>0.19</v>
      </c>
      <c r="K223" s="21">
        <v>0.18</v>
      </c>
      <c r="L223" s="21">
        <v>0.16</v>
      </c>
      <c r="M223" s="21">
        <v>0.17</v>
      </c>
      <c r="N223" s="21">
        <v>0.19</v>
      </c>
      <c r="O223" s="21">
        <v>0.18</v>
      </c>
      <c r="P223" s="21">
        <v>0.16</v>
      </c>
      <c r="Q223" s="21">
        <v>0.18587886046544375</v>
      </c>
      <c r="R223" s="21">
        <v>0.19138193485414046</v>
      </c>
      <c r="S223" s="21">
        <v>0.19104857971185399</v>
      </c>
      <c r="T223" s="21">
        <v>0.17640080743601144</v>
      </c>
      <c r="U223" s="21">
        <v>0.18615322453705316</v>
      </c>
      <c r="V223" s="21">
        <v>0.18399793925135743</v>
      </c>
      <c r="W223" s="21">
        <v>0.18714048663258198</v>
      </c>
      <c r="X223" s="21">
        <v>0.17518412972650815</v>
      </c>
      <c r="Y223" s="21">
        <v>0.16338656359864354</v>
      </c>
      <c r="Z223" s="21">
        <v>0.16641749918195198</v>
      </c>
    </row>
    <row r="225" spans="1:26" ht="18" customHeight="1" x14ac:dyDescent="0.3">
      <c r="A225" s="10" t="s">
        <v>207</v>
      </c>
    </row>
    <row r="226" spans="1:26" ht="19" customHeight="1" x14ac:dyDescent="0.3">
      <c r="A226" s="22" t="s">
        <v>208</v>
      </c>
      <c r="B226" s="11">
        <v>2000</v>
      </c>
      <c r="C226" s="11">
        <v>2001</v>
      </c>
      <c r="D226" s="11">
        <v>2002</v>
      </c>
      <c r="E226" s="11">
        <v>2003</v>
      </c>
      <c r="F226" s="11">
        <v>2004</v>
      </c>
      <c r="G226" s="11">
        <v>2005</v>
      </c>
      <c r="H226" s="11">
        <v>2006</v>
      </c>
      <c r="I226" s="11">
        <v>2007</v>
      </c>
      <c r="J226" s="11">
        <v>2008</v>
      </c>
      <c r="K226" s="11">
        <v>2009</v>
      </c>
      <c r="L226" s="11">
        <v>2010</v>
      </c>
      <c r="M226" s="11">
        <v>2011</v>
      </c>
      <c r="N226" s="11">
        <v>2012</v>
      </c>
      <c r="O226" s="11">
        <v>2013</v>
      </c>
      <c r="P226" s="11">
        <v>2014</v>
      </c>
      <c r="Q226" s="11">
        <v>2015</v>
      </c>
      <c r="R226" s="11">
        <v>2016</v>
      </c>
      <c r="S226" s="11">
        <v>2017</v>
      </c>
      <c r="T226" s="11">
        <v>2018</v>
      </c>
      <c r="U226" s="11">
        <v>2019</v>
      </c>
      <c r="V226" s="11">
        <v>2020</v>
      </c>
      <c r="W226" s="11">
        <v>2021</v>
      </c>
      <c r="X226" s="11">
        <v>2022</v>
      </c>
      <c r="Y226" s="11">
        <v>2023</v>
      </c>
      <c r="Z226" s="11">
        <v>2024</v>
      </c>
    </row>
    <row r="227" spans="1:26" x14ac:dyDescent="0.3">
      <c r="A227" s="23" t="s">
        <v>204</v>
      </c>
      <c r="B227" s="18">
        <v>8410.8400620000011</v>
      </c>
      <c r="C227" s="18">
        <v>9915.0079320000004</v>
      </c>
      <c r="D227" s="18">
        <v>10170.008136</v>
      </c>
      <c r="E227" s="18">
        <v>10708.064122000002</v>
      </c>
      <c r="F227" s="18">
        <v>11234.453432</v>
      </c>
      <c r="G227" s="18">
        <v>11746.120508000002</v>
      </c>
      <c r="H227" s="18">
        <v>12963.899260000002</v>
      </c>
      <c r="I227" s="18">
        <v>14595.011676000002</v>
      </c>
      <c r="J227" s="13">
        <v>15175</v>
      </c>
      <c r="K227" s="13">
        <v>13445</v>
      </c>
      <c r="L227" s="13">
        <v>14126</v>
      </c>
      <c r="M227" s="13">
        <v>12773</v>
      </c>
      <c r="N227" s="13">
        <v>12420</v>
      </c>
      <c r="O227" s="13">
        <v>12588</v>
      </c>
      <c r="P227" s="13">
        <v>12860</v>
      </c>
      <c r="Q227" s="18">
        <v>12067.875</v>
      </c>
      <c r="R227" s="18">
        <v>12020.325000000001</v>
      </c>
      <c r="S227" s="18">
        <v>12569.985000000001</v>
      </c>
      <c r="T227" s="18">
        <v>12894.473</v>
      </c>
      <c r="U227" s="18">
        <v>12779.851000000001</v>
      </c>
      <c r="V227" s="18">
        <v>12159.168</v>
      </c>
      <c r="W227" s="18">
        <v>12526.236000000001</v>
      </c>
      <c r="X227" s="18">
        <v>11887.102999999999</v>
      </c>
      <c r="Y227" s="18">
        <v>11881.374</v>
      </c>
      <c r="Z227" s="18">
        <v>11237.623</v>
      </c>
    </row>
    <row r="228" spans="1:26" x14ac:dyDescent="0.3">
      <c r="A228" s="23" t="s">
        <v>205</v>
      </c>
      <c r="B228" s="20">
        <v>1.8065325803362065E-2</v>
      </c>
      <c r="C228" s="20">
        <v>1.7425897910012887E-2</v>
      </c>
      <c r="D228" s="20">
        <v>1.4148366655741287E-2</v>
      </c>
      <c r="E228" s="20">
        <v>1.2685153959895197E-2</v>
      </c>
      <c r="F228" s="20">
        <v>1.2362773217288103E-2</v>
      </c>
      <c r="G228" s="20">
        <v>1.2580996074350849E-2</v>
      </c>
      <c r="H228" s="20">
        <v>1.1570602099850009E-2</v>
      </c>
      <c r="I228" s="20">
        <v>9.5732937459556168E-3</v>
      </c>
      <c r="J228" s="20">
        <v>8.9999999999999993E-3</v>
      </c>
      <c r="K228" s="20">
        <v>8.9999999999999993E-3</v>
      </c>
      <c r="L228" s="20">
        <v>8.9999999999999993E-3</v>
      </c>
      <c r="M228" s="20">
        <v>0.01</v>
      </c>
      <c r="N228" s="20">
        <v>0.01</v>
      </c>
      <c r="O228" s="20">
        <v>0.01</v>
      </c>
      <c r="P228" s="20">
        <v>8.9999999999999993E-3</v>
      </c>
      <c r="Q228" s="20">
        <v>8.7836508084480486E-3</v>
      </c>
      <c r="R228" s="20">
        <v>8.7352047469598359E-3</v>
      </c>
      <c r="S228" s="20">
        <v>8.3253082640910078E-3</v>
      </c>
      <c r="T228" s="20">
        <v>8.0312704520766384E-3</v>
      </c>
      <c r="U228" s="20">
        <v>7.8824862668586664E-3</v>
      </c>
      <c r="V228" s="20">
        <v>7.7560405448793869E-3</v>
      </c>
      <c r="W228" s="20">
        <v>7.7999488433716235E-3</v>
      </c>
      <c r="X228" s="20">
        <v>8.5174663667001126E-3</v>
      </c>
      <c r="Y228" s="24">
        <v>9.0306053828454521E-3</v>
      </c>
      <c r="Z228" s="24">
        <v>1.0893762853585674E-2</v>
      </c>
    </row>
    <row r="230" spans="1:26" ht="18" customHeight="1" x14ac:dyDescent="0.3">
      <c r="A230" s="10" t="s">
        <v>209</v>
      </c>
    </row>
    <row r="231" spans="1:26" ht="19" customHeight="1" x14ac:dyDescent="0.3">
      <c r="A231" s="22" t="s">
        <v>134</v>
      </c>
      <c r="B231" s="11">
        <v>2000</v>
      </c>
      <c r="C231" s="11">
        <v>2001</v>
      </c>
      <c r="D231" s="11">
        <v>2002</v>
      </c>
      <c r="E231" s="11">
        <v>2003</v>
      </c>
      <c r="F231" s="11">
        <v>2004</v>
      </c>
      <c r="G231" s="11">
        <v>2005</v>
      </c>
      <c r="H231" s="11">
        <v>2006</v>
      </c>
      <c r="I231" s="11">
        <v>2007</v>
      </c>
      <c r="J231" s="11">
        <v>2008</v>
      </c>
      <c r="K231" s="11">
        <v>2009</v>
      </c>
      <c r="L231" s="11">
        <v>2010</v>
      </c>
      <c r="M231" s="11">
        <v>2011</v>
      </c>
      <c r="N231" s="11">
        <v>2012</v>
      </c>
      <c r="O231" s="11">
        <v>2013</v>
      </c>
      <c r="P231" s="11">
        <v>2014</v>
      </c>
      <c r="Q231" s="11">
        <v>2015</v>
      </c>
      <c r="R231" s="11">
        <v>2016</v>
      </c>
      <c r="S231" s="11">
        <v>2017</v>
      </c>
      <c r="T231" s="11">
        <v>2018</v>
      </c>
      <c r="U231" s="11">
        <v>2019</v>
      </c>
      <c r="V231" s="11">
        <v>2020</v>
      </c>
      <c r="W231" s="11">
        <v>2021</v>
      </c>
      <c r="X231" s="11">
        <v>2022</v>
      </c>
      <c r="Y231" s="11">
        <v>2023</v>
      </c>
      <c r="Z231" s="11">
        <v>2024</v>
      </c>
    </row>
    <row r="232" spans="1:26" x14ac:dyDescent="0.3">
      <c r="A232" s="23" t="s">
        <v>204</v>
      </c>
      <c r="B232" s="18">
        <v>20927.794520000003</v>
      </c>
      <c r="C232" s="18">
        <v>22613.073646000001</v>
      </c>
      <c r="D232" s="18">
        <v>22865.018292000004</v>
      </c>
      <c r="E232" s="18">
        <v>24004.185870000001</v>
      </c>
      <c r="F232" s="18">
        <v>24070.019256000003</v>
      </c>
      <c r="G232" s="18">
        <v>24413.630642000004</v>
      </c>
      <c r="H232" s="18">
        <v>24618.353028000005</v>
      </c>
      <c r="I232" s="18">
        <v>24904.742146000004</v>
      </c>
      <c r="J232" s="13">
        <v>23987</v>
      </c>
      <c r="K232" s="13">
        <v>24523</v>
      </c>
      <c r="L232" s="13">
        <v>23144</v>
      </c>
      <c r="M232" s="13">
        <v>21942</v>
      </c>
      <c r="N232" s="13">
        <v>23259</v>
      </c>
      <c r="O232" s="13">
        <v>21759</v>
      </c>
      <c r="P232" s="13">
        <v>21500</v>
      </c>
      <c r="Q232" s="13">
        <v>19702</v>
      </c>
      <c r="R232" s="13">
        <v>20243</v>
      </c>
      <c r="S232" s="13">
        <v>20994</v>
      </c>
      <c r="T232" s="13">
        <v>21199</v>
      </c>
      <c r="U232" s="13">
        <v>20428</v>
      </c>
      <c r="V232" s="13">
        <v>19383</v>
      </c>
      <c r="W232" s="13">
        <v>20939</v>
      </c>
      <c r="X232" s="13">
        <v>19589</v>
      </c>
      <c r="Y232" s="13">
        <v>18750</v>
      </c>
      <c r="Z232" s="13">
        <v>19027</v>
      </c>
    </row>
    <row r="233" spans="1:26" x14ac:dyDescent="0.3">
      <c r="A233" s="23" t="s">
        <v>205</v>
      </c>
      <c r="B233" s="21">
        <v>0.13</v>
      </c>
      <c r="C233" s="21">
        <v>0.12</v>
      </c>
      <c r="D233" s="21">
        <v>0.13</v>
      </c>
      <c r="E233" s="21">
        <v>0.14000000000000001</v>
      </c>
      <c r="F233" s="21">
        <v>0.14000000000000001</v>
      </c>
      <c r="G233" s="21">
        <v>0.15</v>
      </c>
      <c r="H233" s="21">
        <v>0.16</v>
      </c>
      <c r="I233" s="21">
        <v>0.18</v>
      </c>
      <c r="J233" s="21">
        <v>0.19</v>
      </c>
      <c r="K233" s="21">
        <v>0.18</v>
      </c>
      <c r="L233" s="21">
        <v>0.19</v>
      </c>
      <c r="M233" s="21">
        <v>0.19</v>
      </c>
      <c r="N233" s="21">
        <v>0.2</v>
      </c>
      <c r="O233" s="21">
        <v>0.21</v>
      </c>
      <c r="P233" s="21">
        <v>0.22</v>
      </c>
      <c r="Q233" s="21">
        <v>0.23</v>
      </c>
      <c r="R233" s="21">
        <v>0.22</v>
      </c>
      <c r="S233" s="21">
        <v>0.21</v>
      </c>
      <c r="T233" s="21">
        <v>0.21</v>
      </c>
      <c r="U233" s="21">
        <v>0.22</v>
      </c>
      <c r="V233" s="21">
        <v>0.22</v>
      </c>
      <c r="W233" s="21">
        <v>0.21</v>
      </c>
      <c r="X233" s="21">
        <v>0.22</v>
      </c>
      <c r="Y233" s="21">
        <v>0.23</v>
      </c>
      <c r="Z233" s="21">
        <v>0.23</v>
      </c>
    </row>
    <row r="235" spans="1:26" ht="18" customHeight="1" x14ac:dyDescent="0.3">
      <c r="A235" s="10" t="s">
        <v>334</v>
      </c>
    </row>
    <row r="236" spans="1:26" ht="45" customHeight="1" x14ac:dyDescent="0.3">
      <c r="A236" s="11" t="s">
        <v>73</v>
      </c>
      <c r="B236" s="11" t="s">
        <v>331</v>
      </c>
      <c r="C236" s="11" t="s">
        <v>260</v>
      </c>
      <c r="D236" s="11" t="s">
        <v>328</v>
      </c>
      <c r="E236" s="11" t="s">
        <v>333</v>
      </c>
      <c r="F236" s="11" t="s">
        <v>325</v>
      </c>
      <c r="G236" s="11" t="s">
        <v>282</v>
      </c>
      <c r="H236" s="11" t="s">
        <v>332</v>
      </c>
      <c r="K236" s="11" t="s">
        <v>73</v>
      </c>
      <c r="L236" s="11" t="s">
        <v>331</v>
      </c>
      <c r="M236" s="11" t="s">
        <v>330</v>
      </c>
      <c r="N236" s="11" t="s">
        <v>329</v>
      </c>
      <c r="O236" s="11" t="s">
        <v>328</v>
      </c>
      <c r="P236" s="11" t="s">
        <v>327</v>
      </c>
      <c r="Q236" s="11" t="s">
        <v>326</v>
      </c>
      <c r="R236" s="11" t="s">
        <v>325</v>
      </c>
      <c r="S236" s="11" t="s">
        <v>282</v>
      </c>
      <c r="T236" s="11" t="s">
        <v>241</v>
      </c>
      <c r="U236" s="11" t="s">
        <v>332</v>
      </c>
    </row>
    <row r="237" spans="1:26" x14ac:dyDescent="0.3">
      <c r="A237" s="17">
        <v>2000</v>
      </c>
      <c r="B237" s="18">
        <f t="shared" ref="B237:B261" si="7">L237</f>
        <v>716</v>
      </c>
      <c r="C237" s="18">
        <f t="shared" ref="C237:C261" si="8">M237+N237</f>
        <v>12809.454692000001</v>
      </c>
      <c r="D237" s="18">
        <f t="shared" ref="D237:D261" si="9">O237</f>
        <v>3823.3363920000002</v>
      </c>
      <c r="E237" s="18">
        <f t="shared" ref="E237:E261" si="10">P237+Q237</f>
        <v>9583.0632220000007</v>
      </c>
      <c r="F237" s="18">
        <f t="shared" ref="F237:F261" si="11">R237</f>
        <v>6958.6166780000003</v>
      </c>
      <c r="G237" s="18">
        <f t="shared" ref="G237:G261" si="12">S237</f>
        <v>4477</v>
      </c>
      <c r="H237" s="21">
        <v>0.11668738869619523</v>
      </c>
      <c r="K237" s="17">
        <v>2000</v>
      </c>
      <c r="L237" s="18">
        <v>716</v>
      </c>
      <c r="M237" s="18">
        <v>0</v>
      </c>
      <c r="N237" s="18">
        <v>12809.454692000001</v>
      </c>
      <c r="O237" s="18">
        <v>3823.3363920000002</v>
      </c>
      <c r="P237" s="18">
        <v>9583.0632220000007</v>
      </c>
      <c r="Q237" s="18">
        <v>0</v>
      </c>
      <c r="R237" s="18">
        <v>6958.6166780000003</v>
      </c>
      <c r="S237" s="18">
        <v>4477</v>
      </c>
      <c r="T237" s="18">
        <f t="shared" ref="T237:T261" si="13">SUM(L237:S237)</f>
        <v>38367.470984</v>
      </c>
      <c r="U237" s="21">
        <f t="shared" ref="U237:U261" si="14">S237/T237</f>
        <v>0.11668738869619523</v>
      </c>
    </row>
    <row r="238" spans="1:26" x14ac:dyDescent="0.3">
      <c r="A238" s="17">
        <v>2001</v>
      </c>
      <c r="B238" s="18">
        <f t="shared" si="7"/>
        <v>946</v>
      </c>
      <c r="C238" s="18">
        <f t="shared" si="8"/>
        <v>13770.288794000002</v>
      </c>
      <c r="D238" s="18">
        <f t="shared" si="9"/>
        <v>4532.225848</v>
      </c>
      <c r="E238" s="18">
        <f t="shared" si="10"/>
        <v>10641.119624000001</v>
      </c>
      <c r="F238" s="18">
        <f t="shared" si="11"/>
        <v>7471.9504220000008</v>
      </c>
      <c r="G238" s="18">
        <f t="shared" si="12"/>
        <v>4582</v>
      </c>
      <c r="H238" s="21">
        <v>0.10924197428721211</v>
      </c>
      <c r="K238" s="17">
        <v>2001</v>
      </c>
      <c r="L238" s="18">
        <v>946</v>
      </c>
      <c r="M238" s="18">
        <v>0</v>
      </c>
      <c r="N238" s="18">
        <v>13770.288794000002</v>
      </c>
      <c r="O238" s="18">
        <v>4532.225848</v>
      </c>
      <c r="P238" s="18">
        <v>10641.119624000001</v>
      </c>
      <c r="Q238" s="18">
        <v>0</v>
      </c>
      <c r="R238" s="18">
        <v>7471.9504220000008</v>
      </c>
      <c r="S238" s="18">
        <v>4582</v>
      </c>
      <c r="T238" s="18">
        <f t="shared" si="13"/>
        <v>41943.584688000003</v>
      </c>
      <c r="U238" s="21">
        <f t="shared" si="14"/>
        <v>0.10924197428721211</v>
      </c>
    </row>
    <row r="239" spans="1:26" ht="14.5" x14ac:dyDescent="0.3">
      <c r="A239" s="17">
        <v>2002</v>
      </c>
      <c r="B239" s="18">
        <f t="shared" si="7"/>
        <v>778</v>
      </c>
      <c r="C239" s="18">
        <f t="shared" si="8"/>
        <v>14026.40011</v>
      </c>
      <c r="D239" s="18">
        <f t="shared" si="9"/>
        <v>5199.4486040000002</v>
      </c>
      <c r="E239" s="18">
        <f t="shared" si="10"/>
        <v>10365.28607</v>
      </c>
      <c r="F239" s="18">
        <f t="shared" si="11"/>
        <v>7362.7836680000009</v>
      </c>
      <c r="G239" s="18">
        <f t="shared" si="12"/>
        <v>4881</v>
      </c>
      <c r="H239" s="21">
        <v>0.11454272970057308</v>
      </c>
      <c r="K239" s="17">
        <v>2002</v>
      </c>
      <c r="L239" s="18">
        <v>778</v>
      </c>
      <c r="M239" s="18">
        <v>0</v>
      </c>
      <c r="N239" s="18">
        <v>14026.40011</v>
      </c>
      <c r="O239" s="18">
        <v>5199.4486040000002</v>
      </c>
      <c r="P239" s="18">
        <v>10365.28607</v>
      </c>
      <c r="Q239" s="18">
        <v>0</v>
      </c>
      <c r="R239" s="18">
        <v>7362.7836680000009</v>
      </c>
      <c r="S239" s="18">
        <v>4881</v>
      </c>
      <c r="T239" s="18">
        <f t="shared" si="13"/>
        <v>42612.918452000005</v>
      </c>
      <c r="U239" s="21">
        <f t="shared" si="14"/>
        <v>0.11454272970057308</v>
      </c>
      <c r="W239" s="23" t="s">
        <v>324</v>
      </c>
    </row>
    <row r="240" spans="1:26" x14ac:dyDescent="0.3">
      <c r="A240" s="17">
        <v>2003</v>
      </c>
      <c r="B240" s="18">
        <f t="shared" si="7"/>
        <v>693</v>
      </c>
      <c r="C240" s="18">
        <f t="shared" si="8"/>
        <v>14939.456396000001</v>
      </c>
      <c r="D240" s="18">
        <f t="shared" si="9"/>
        <v>5306.9486900000002</v>
      </c>
      <c r="E240" s="18">
        <f t="shared" si="10"/>
        <v>10956.119876000001</v>
      </c>
      <c r="F240" s="18">
        <f t="shared" si="11"/>
        <v>7529.7282460000006</v>
      </c>
      <c r="G240" s="18">
        <f t="shared" si="12"/>
        <v>5200</v>
      </c>
      <c r="H240" s="21">
        <v>0.1165259494610059</v>
      </c>
      <c r="K240" s="17">
        <v>2003</v>
      </c>
      <c r="L240" s="18">
        <v>693</v>
      </c>
      <c r="M240" s="18">
        <v>0</v>
      </c>
      <c r="N240" s="18">
        <v>14939.456396000001</v>
      </c>
      <c r="O240" s="18">
        <v>5306.9486900000002</v>
      </c>
      <c r="P240" s="18">
        <v>10956.119876000001</v>
      </c>
      <c r="Q240" s="18">
        <v>0</v>
      </c>
      <c r="R240" s="18">
        <v>7529.7282460000006</v>
      </c>
      <c r="S240" s="18">
        <v>5200</v>
      </c>
      <c r="T240" s="18">
        <f t="shared" si="13"/>
        <v>44625.253208000002</v>
      </c>
      <c r="U240" s="21">
        <f t="shared" si="14"/>
        <v>0.1165259494610059</v>
      </c>
      <c r="W240" s="23" t="s">
        <v>323</v>
      </c>
    </row>
    <row r="241" spans="1:23" ht="14.5" x14ac:dyDescent="0.3">
      <c r="A241" s="17">
        <v>2004</v>
      </c>
      <c r="B241" s="18">
        <f t="shared" si="7"/>
        <v>681</v>
      </c>
      <c r="C241" s="18">
        <f t="shared" si="8"/>
        <v>15489.456836000001</v>
      </c>
      <c r="D241" s="18">
        <f t="shared" si="9"/>
        <v>5721.1156880000008</v>
      </c>
      <c r="E241" s="18">
        <f t="shared" si="10"/>
        <v>11610.842622000002</v>
      </c>
      <c r="F241" s="18">
        <f t="shared" si="11"/>
        <v>6921.949982000001</v>
      </c>
      <c r="G241" s="18">
        <f t="shared" si="12"/>
        <v>5404</v>
      </c>
      <c r="H241" s="21">
        <v>0.1179182365529834</v>
      </c>
      <c r="K241" s="17">
        <v>2004</v>
      </c>
      <c r="L241" s="18">
        <v>681</v>
      </c>
      <c r="M241" s="18">
        <v>0</v>
      </c>
      <c r="N241" s="18">
        <v>15489.456836000001</v>
      </c>
      <c r="O241" s="18">
        <v>5721.1156880000008</v>
      </c>
      <c r="P241" s="18">
        <v>11610.842622000002</v>
      </c>
      <c r="Q241" s="18">
        <v>0</v>
      </c>
      <c r="R241" s="18">
        <v>6921.949982000001</v>
      </c>
      <c r="S241" s="18">
        <v>5404</v>
      </c>
      <c r="T241" s="18">
        <f t="shared" si="13"/>
        <v>45828.365128000005</v>
      </c>
      <c r="U241" s="21">
        <f t="shared" si="14"/>
        <v>0.1179182365529834</v>
      </c>
      <c r="W241" s="23" t="s">
        <v>322</v>
      </c>
    </row>
    <row r="242" spans="1:23" ht="14.5" x14ac:dyDescent="0.3">
      <c r="A242" s="17">
        <v>2005</v>
      </c>
      <c r="B242" s="18">
        <f t="shared" si="7"/>
        <v>853</v>
      </c>
      <c r="C242" s="18">
        <f t="shared" si="8"/>
        <v>15890.846046000001</v>
      </c>
      <c r="D242" s="18">
        <f t="shared" si="9"/>
        <v>5906.9491700000008</v>
      </c>
      <c r="E242" s="18">
        <f t="shared" si="10"/>
        <v>11838.898360000001</v>
      </c>
      <c r="F242" s="18">
        <f t="shared" si="11"/>
        <v>7016.1167240000004</v>
      </c>
      <c r="G242" s="18">
        <f t="shared" si="12"/>
        <v>5729</v>
      </c>
      <c r="H242" s="21">
        <v>0.12128766821786094</v>
      </c>
      <c r="K242" s="17">
        <v>2005</v>
      </c>
      <c r="L242" s="18">
        <v>853</v>
      </c>
      <c r="M242" s="18">
        <v>0</v>
      </c>
      <c r="N242" s="18">
        <v>15890.846046000001</v>
      </c>
      <c r="O242" s="18">
        <v>5906.9491700000008</v>
      </c>
      <c r="P242" s="18">
        <v>11838.898360000001</v>
      </c>
      <c r="Q242" s="18">
        <v>0</v>
      </c>
      <c r="R242" s="18">
        <v>7016.1167240000004</v>
      </c>
      <c r="S242" s="18">
        <v>5729</v>
      </c>
      <c r="T242" s="18">
        <f t="shared" si="13"/>
        <v>47234.810299999997</v>
      </c>
      <c r="U242" s="21">
        <f t="shared" si="14"/>
        <v>0.12128766821786094</v>
      </c>
      <c r="W242" s="23" t="s">
        <v>321</v>
      </c>
    </row>
    <row r="243" spans="1:23" ht="14.5" x14ac:dyDescent="0.3">
      <c r="A243" s="17">
        <v>2006</v>
      </c>
      <c r="B243" s="18">
        <f t="shared" si="7"/>
        <v>933</v>
      </c>
      <c r="C243" s="18">
        <f t="shared" si="8"/>
        <v>17525.014020000002</v>
      </c>
      <c r="D243" s="18">
        <f t="shared" si="9"/>
        <v>5971.6714440000005</v>
      </c>
      <c r="E243" s="18">
        <f t="shared" si="10"/>
        <v>11845.287254000001</v>
      </c>
      <c r="F243" s="18">
        <f t="shared" si="11"/>
        <v>6833.8943560000007</v>
      </c>
      <c r="G243" s="18">
        <f t="shared" si="12"/>
        <v>6142</v>
      </c>
      <c r="H243" s="21">
        <v>0.1247084643356953</v>
      </c>
      <c r="K243" s="17">
        <v>2006</v>
      </c>
      <c r="L243" s="18">
        <v>933</v>
      </c>
      <c r="M243" s="18">
        <v>0</v>
      </c>
      <c r="N243" s="18">
        <v>17525.014020000002</v>
      </c>
      <c r="O243" s="18">
        <v>5971.6714440000005</v>
      </c>
      <c r="P243" s="18">
        <v>11845.287254000001</v>
      </c>
      <c r="Q243" s="18">
        <v>0</v>
      </c>
      <c r="R243" s="18">
        <v>6833.8943560000007</v>
      </c>
      <c r="S243" s="18">
        <v>6142</v>
      </c>
      <c r="T243" s="18">
        <f t="shared" si="13"/>
        <v>49250.867074000009</v>
      </c>
      <c r="U243" s="21">
        <f t="shared" si="14"/>
        <v>0.1247084643356953</v>
      </c>
      <c r="W243" s="23" t="s">
        <v>320</v>
      </c>
    </row>
    <row r="244" spans="1:23" ht="14.5" x14ac:dyDescent="0.3">
      <c r="A244" s="17">
        <v>2007</v>
      </c>
      <c r="B244" s="18">
        <f t="shared" si="7"/>
        <v>1089</v>
      </c>
      <c r="C244" s="18">
        <f t="shared" si="8"/>
        <v>19024.737442000001</v>
      </c>
      <c r="D244" s="18">
        <f t="shared" si="9"/>
        <v>6082.5048660000002</v>
      </c>
      <c r="E244" s="18">
        <f t="shared" si="10"/>
        <v>11609.453732000002</v>
      </c>
      <c r="F244" s="18">
        <f t="shared" si="11"/>
        <v>6603.6163940000006</v>
      </c>
      <c r="G244" s="18">
        <f t="shared" si="12"/>
        <v>6605</v>
      </c>
      <c r="H244" s="21">
        <v>0.12947346901019685</v>
      </c>
      <c r="K244" s="17">
        <v>2007</v>
      </c>
      <c r="L244" s="18">
        <v>1089</v>
      </c>
      <c r="M244" s="18">
        <v>0</v>
      </c>
      <c r="N244" s="18">
        <v>19024.737442000001</v>
      </c>
      <c r="O244" s="18">
        <v>6082.5048660000002</v>
      </c>
      <c r="P244" s="18">
        <v>11609.453732000002</v>
      </c>
      <c r="Q244" s="18">
        <v>0</v>
      </c>
      <c r="R244" s="18">
        <v>6603.6163940000006</v>
      </c>
      <c r="S244" s="18">
        <v>6605</v>
      </c>
      <c r="T244" s="18">
        <f t="shared" si="13"/>
        <v>51014.312434000007</v>
      </c>
      <c r="U244" s="21">
        <f t="shared" si="14"/>
        <v>0.12947346901019685</v>
      </c>
      <c r="W244" s="23" t="s">
        <v>319</v>
      </c>
    </row>
    <row r="245" spans="1:23" ht="14.5" x14ac:dyDescent="0.3">
      <c r="A245" s="17">
        <v>2008</v>
      </c>
      <c r="B245" s="18">
        <f t="shared" si="7"/>
        <v>1067</v>
      </c>
      <c r="C245" s="18">
        <f t="shared" si="8"/>
        <v>19011.959654000002</v>
      </c>
      <c r="D245" s="18">
        <f t="shared" si="9"/>
        <v>5828.8935520000005</v>
      </c>
      <c r="E245" s="18">
        <f t="shared" si="10"/>
        <v>10945.008756000003</v>
      </c>
      <c r="F245" s="18">
        <f t="shared" si="11"/>
        <v>6220.0049760000002</v>
      </c>
      <c r="G245" s="18">
        <f t="shared" si="12"/>
        <v>6628</v>
      </c>
      <c r="H245" s="21">
        <v>0.13334039723420393</v>
      </c>
      <c r="K245" s="17">
        <v>2008</v>
      </c>
      <c r="L245" s="18">
        <v>1067</v>
      </c>
      <c r="M245" s="18">
        <v>21.944462000000001</v>
      </c>
      <c r="N245" s="18">
        <v>18990.015192000003</v>
      </c>
      <c r="O245" s="18">
        <v>5828.8935520000005</v>
      </c>
      <c r="P245" s="18">
        <v>10886.675376000003</v>
      </c>
      <c r="Q245" s="18">
        <v>58.333379999999998</v>
      </c>
      <c r="R245" s="18">
        <v>6220.0049760000002</v>
      </c>
      <c r="S245" s="18">
        <v>6628</v>
      </c>
      <c r="T245" s="18">
        <f t="shared" si="13"/>
        <v>49700.866938000006</v>
      </c>
      <c r="U245" s="21">
        <f t="shared" si="14"/>
        <v>0.13335783474900317</v>
      </c>
      <c r="W245" s="23" t="s">
        <v>318</v>
      </c>
    </row>
    <row r="246" spans="1:23" x14ac:dyDescent="0.3">
      <c r="A246" s="17">
        <v>2009</v>
      </c>
      <c r="B246" s="18">
        <f t="shared" si="7"/>
        <v>828</v>
      </c>
      <c r="C246" s="18">
        <f t="shared" si="8"/>
        <v>16986.402478000004</v>
      </c>
      <c r="D246" s="18">
        <f t="shared" si="9"/>
        <v>5026.1151320000008</v>
      </c>
      <c r="E246" s="18">
        <f t="shared" si="10"/>
        <v>12779.454668000002</v>
      </c>
      <c r="F246" s="18">
        <f t="shared" si="11"/>
        <v>6169.1716020000003</v>
      </c>
      <c r="G246" s="18">
        <f t="shared" si="12"/>
        <v>6103</v>
      </c>
      <c r="H246" s="21">
        <v>0.12741395393039001</v>
      </c>
      <c r="K246" s="17">
        <v>2009</v>
      </c>
      <c r="L246" s="18">
        <v>828</v>
      </c>
      <c r="M246" s="18">
        <v>10.833342000000002</v>
      </c>
      <c r="N246" s="18">
        <v>16975.569136000002</v>
      </c>
      <c r="O246" s="18">
        <v>5026.1151320000008</v>
      </c>
      <c r="P246" s="18">
        <v>12755.010204000002</v>
      </c>
      <c r="Q246" s="18">
        <v>24.444464000000004</v>
      </c>
      <c r="R246" s="18">
        <v>6169.1716020000003</v>
      </c>
      <c r="S246" s="18">
        <v>6103</v>
      </c>
      <c r="T246" s="18">
        <f t="shared" si="13"/>
        <v>47892.143880000003</v>
      </c>
      <c r="U246" s="21">
        <f t="shared" si="14"/>
        <v>0.12743217374632174</v>
      </c>
    </row>
    <row r="247" spans="1:23" x14ac:dyDescent="0.3">
      <c r="A247" s="17">
        <v>2010</v>
      </c>
      <c r="B247" s="18">
        <f t="shared" si="7"/>
        <v>1095</v>
      </c>
      <c r="C247" s="18">
        <f t="shared" si="8"/>
        <v>17676.125252000002</v>
      </c>
      <c r="D247" s="18">
        <f t="shared" si="9"/>
        <v>5798.6157500000008</v>
      </c>
      <c r="E247" s="18">
        <f t="shared" si="10"/>
        <v>11321.675724000002</v>
      </c>
      <c r="F247" s="18">
        <f t="shared" si="11"/>
        <v>6686.6720160000004</v>
      </c>
      <c r="G247" s="18">
        <f t="shared" si="12"/>
        <v>6215</v>
      </c>
      <c r="H247" s="21">
        <v>0.12735671212720634</v>
      </c>
      <c r="K247" s="17">
        <v>2010</v>
      </c>
      <c r="L247" s="18">
        <v>1095</v>
      </c>
      <c r="M247" s="18">
        <v>10.833342000000002</v>
      </c>
      <c r="N247" s="18">
        <v>17665.29191</v>
      </c>
      <c r="O247" s="18">
        <v>5798.6157500000008</v>
      </c>
      <c r="P247" s="18">
        <v>10993.619906000002</v>
      </c>
      <c r="Q247" s="18">
        <v>328.05581800000004</v>
      </c>
      <c r="R247" s="18">
        <v>6686.6720160000004</v>
      </c>
      <c r="S247" s="18">
        <v>6215</v>
      </c>
      <c r="T247" s="18">
        <f t="shared" si="13"/>
        <v>48793.088742000007</v>
      </c>
      <c r="U247" s="21">
        <f t="shared" si="14"/>
        <v>0.12737459669468038</v>
      </c>
    </row>
    <row r="248" spans="1:23" x14ac:dyDescent="0.3">
      <c r="A248" s="17">
        <v>2011</v>
      </c>
      <c r="B248" s="18">
        <f t="shared" si="7"/>
        <v>1139</v>
      </c>
      <c r="C248" s="18">
        <f t="shared" si="8"/>
        <v>16305.846378</v>
      </c>
      <c r="D248" s="18">
        <f t="shared" si="9"/>
        <v>4622.5036980000004</v>
      </c>
      <c r="E248" s="18">
        <f t="shared" si="10"/>
        <v>12088.620782000002</v>
      </c>
      <c r="F248" s="18">
        <f t="shared" si="11"/>
        <v>5804.4490880000003</v>
      </c>
      <c r="G248" s="18">
        <f t="shared" si="12"/>
        <v>6191</v>
      </c>
      <c r="H248" s="21">
        <v>0.1341266234899452</v>
      </c>
      <c r="K248" s="17">
        <v>2011</v>
      </c>
      <c r="L248" s="18">
        <v>1139</v>
      </c>
      <c r="M248" s="18">
        <v>21.944462000000001</v>
      </c>
      <c r="N248" s="18">
        <v>16283.901916000001</v>
      </c>
      <c r="O248" s="18">
        <v>4622.5036980000004</v>
      </c>
      <c r="P248" s="18">
        <v>11466.675840000002</v>
      </c>
      <c r="Q248" s="18">
        <v>621.94494200000008</v>
      </c>
      <c r="R248" s="18">
        <v>5804.4490880000003</v>
      </c>
      <c r="S248" s="18">
        <v>6191</v>
      </c>
      <c r="T248" s="18">
        <f t="shared" si="13"/>
        <v>46151.419946000009</v>
      </c>
      <c r="U248" s="21">
        <f t="shared" si="14"/>
        <v>0.13414538506602505</v>
      </c>
    </row>
    <row r="249" spans="1:23" x14ac:dyDescent="0.3">
      <c r="A249" s="17">
        <v>2012</v>
      </c>
      <c r="B249" s="18">
        <f t="shared" si="7"/>
        <v>906</v>
      </c>
      <c r="C249" s="18">
        <f t="shared" si="8"/>
        <v>16039.457276000001</v>
      </c>
      <c r="D249" s="18">
        <f t="shared" si="9"/>
        <v>4688.6148620000004</v>
      </c>
      <c r="E249" s="18">
        <f t="shared" si="10"/>
        <v>13280.843958000003</v>
      </c>
      <c r="F249" s="18">
        <f t="shared" si="11"/>
        <v>6220.2827540000008</v>
      </c>
      <c r="G249" s="18">
        <f t="shared" si="12"/>
        <v>6848</v>
      </c>
      <c r="H249" s="21">
        <v>0.14269875420684267</v>
      </c>
      <c r="K249" s="17">
        <v>2012</v>
      </c>
      <c r="L249" s="18">
        <v>906</v>
      </c>
      <c r="M249" s="18">
        <v>10.833342000000002</v>
      </c>
      <c r="N249" s="18">
        <v>16028.623934000001</v>
      </c>
      <c r="O249" s="18">
        <v>4688.6148620000004</v>
      </c>
      <c r="P249" s="18">
        <v>12633.343440000002</v>
      </c>
      <c r="Q249" s="18">
        <v>647.50051800000006</v>
      </c>
      <c r="R249" s="18">
        <v>6220.2827540000008</v>
      </c>
      <c r="S249" s="18">
        <v>6848</v>
      </c>
      <c r="T249" s="18">
        <f t="shared" si="13"/>
        <v>47983.198850000008</v>
      </c>
      <c r="U249" s="21">
        <f t="shared" si="14"/>
        <v>0.14271662090323514</v>
      </c>
    </row>
    <row r="250" spans="1:23" x14ac:dyDescent="0.3">
      <c r="A250" s="17">
        <v>2013</v>
      </c>
      <c r="B250" s="18">
        <f t="shared" si="7"/>
        <v>693</v>
      </c>
      <c r="C250" s="18">
        <f t="shared" si="8"/>
        <v>16329.735286000001</v>
      </c>
      <c r="D250" s="18">
        <f t="shared" si="9"/>
        <v>4004.7254260000004</v>
      </c>
      <c r="E250" s="18">
        <f t="shared" si="10"/>
        <v>12459.732189999999</v>
      </c>
      <c r="F250" s="18">
        <f t="shared" si="11"/>
        <v>6027.2270440000002</v>
      </c>
      <c r="G250" s="18">
        <f t="shared" si="12"/>
        <v>6576</v>
      </c>
      <c r="H250" s="21">
        <v>0.14265746906130525</v>
      </c>
      <c r="K250" s="17">
        <v>2013</v>
      </c>
      <c r="L250" s="18">
        <v>693</v>
      </c>
      <c r="M250" s="18">
        <v>0</v>
      </c>
      <c r="N250" s="18">
        <v>16329.735286000001</v>
      </c>
      <c r="O250" s="18">
        <v>4004.7254260000004</v>
      </c>
      <c r="P250" s="18">
        <v>11844.176141999998</v>
      </c>
      <c r="Q250" s="18">
        <v>615.55604800000003</v>
      </c>
      <c r="R250" s="18">
        <v>6027.2270440000002</v>
      </c>
      <c r="S250" s="18">
        <v>6576</v>
      </c>
      <c r="T250" s="18">
        <f t="shared" si="13"/>
        <v>46090.419946000002</v>
      </c>
      <c r="U250" s="21">
        <f t="shared" si="14"/>
        <v>0.14267607037871444</v>
      </c>
    </row>
    <row r="251" spans="1:23" x14ac:dyDescent="0.3">
      <c r="A251" s="17">
        <v>2014</v>
      </c>
      <c r="B251" s="18">
        <f t="shared" si="7"/>
        <v>629</v>
      </c>
      <c r="C251" s="18">
        <f t="shared" si="8"/>
        <v>16476.40207</v>
      </c>
      <c r="D251" s="18">
        <f t="shared" si="9"/>
        <v>3806.9474900000005</v>
      </c>
      <c r="E251" s="18">
        <f t="shared" si="10"/>
        <v>12911.399218000002</v>
      </c>
      <c r="F251" s="18">
        <f t="shared" si="11"/>
        <v>5871.9491420000004</v>
      </c>
      <c r="G251" s="18">
        <f t="shared" si="12"/>
        <v>6583</v>
      </c>
      <c r="H251" s="21">
        <v>0.14222833666830761</v>
      </c>
      <c r="K251" s="17">
        <v>2014</v>
      </c>
      <c r="L251" s="18">
        <v>629</v>
      </c>
      <c r="M251" s="18">
        <v>0</v>
      </c>
      <c r="N251" s="18">
        <v>16476.40207</v>
      </c>
      <c r="O251" s="18">
        <v>3806.9474900000005</v>
      </c>
      <c r="P251" s="18">
        <v>12151.954166000001</v>
      </c>
      <c r="Q251" s="18">
        <v>759.44505200000003</v>
      </c>
      <c r="R251" s="18">
        <v>5871.9491420000004</v>
      </c>
      <c r="S251" s="18">
        <v>6583</v>
      </c>
      <c r="T251" s="18">
        <f t="shared" si="13"/>
        <v>46278.697920000006</v>
      </c>
      <c r="U251" s="21">
        <f t="shared" si="14"/>
        <v>0.14224687158181826</v>
      </c>
    </row>
    <row r="252" spans="1:23" x14ac:dyDescent="0.3">
      <c r="A252" s="17">
        <v>2015</v>
      </c>
      <c r="B252" s="18">
        <f t="shared" si="7"/>
        <v>499</v>
      </c>
      <c r="C252" s="18">
        <f t="shared" si="8"/>
        <v>17316.680520000002</v>
      </c>
      <c r="D252" s="18">
        <f t="shared" si="9"/>
        <v>3690.0029520000003</v>
      </c>
      <c r="E252" s="18">
        <f t="shared" si="10"/>
        <v>11586.953714000001</v>
      </c>
      <c r="F252" s="18">
        <f t="shared" si="11"/>
        <v>5861.3935780000002</v>
      </c>
      <c r="G252" s="18">
        <f t="shared" si="12"/>
        <v>6462</v>
      </c>
      <c r="H252" s="21">
        <v>0.142246787861008</v>
      </c>
      <c r="K252" s="17">
        <v>2015</v>
      </c>
      <c r="L252" s="18">
        <v>499</v>
      </c>
      <c r="M252" s="18">
        <v>0</v>
      </c>
      <c r="N252" s="18">
        <v>17316.680520000002</v>
      </c>
      <c r="O252" s="18">
        <v>3690.0029520000003</v>
      </c>
      <c r="P252" s="18">
        <v>10947.23098</v>
      </c>
      <c r="Q252" s="18">
        <v>639.72273400000006</v>
      </c>
      <c r="R252" s="18">
        <v>5861.3935780000002</v>
      </c>
      <c r="S252" s="18">
        <v>6462</v>
      </c>
      <c r="T252" s="18">
        <f t="shared" si="13"/>
        <v>45416.030764000003</v>
      </c>
      <c r="U252" s="21">
        <f t="shared" si="14"/>
        <v>0.14228456100840595</v>
      </c>
    </row>
    <row r="253" spans="1:23" x14ac:dyDescent="0.3">
      <c r="A253" s="17">
        <v>2016</v>
      </c>
      <c r="B253" s="18">
        <f t="shared" si="7"/>
        <v>415</v>
      </c>
      <c r="C253" s="18">
        <f t="shared" si="8"/>
        <v>17354.458328000004</v>
      </c>
      <c r="D253" s="18">
        <f t="shared" si="9"/>
        <v>3784.4474720000003</v>
      </c>
      <c r="E253" s="18">
        <f t="shared" si="10"/>
        <v>10794.175302000001</v>
      </c>
      <c r="F253" s="18">
        <f t="shared" si="11"/>
        <v>6758.8942960000004</v>
      </c>
      <c r="G253" s="18">
        <f t="shared" si="12"/>
        <v>6482</v>
      </c>
      <c r="H253" s="21">
        <v>0.14216468144106983</v>
      </c>
      <c r="K253" s="17">
        <v>2016</v>
      </c>
      <c r="L253" s="18">
        <v>415</v>
      </c>
      <c r="M253" s="18">
        <v>1.9444460000000001</v>
      </c>
      <c r="N253" s="18">
        <v>17352.513882000003</v>
      </c>
      <c r="O253" s="18">
        <v>3784.4474720000003</v>
      </c>
      <c r="P253" s="18">
        <v>10367.508294000001</v>
      </c>
      <c r="Q253" s="18">
        <v>426.66700800000001</v>
      </c>
      <c r="R253" s="18">
        <v>6758.8942960000004</v>
      </c>
      <c r="S253" s="18">
        <v>6482</v>
      </c>
      <c r="T253" s="18">
        <f t="shared" si="13"/>
        <v>45588.97539800001</v>
      </c>
      <c r="U253" s="21">
        <f t="shared" si="14"/>
        <v>0.14218349816838319</v>
      </c>
    </row>
    <row r="254" spans="1:23" x14ac:dyDescent="0.3">
      <c r="A254" s="17">
        <v>2017</v>
      </c>
      <c r="B254" s="18">
        <f t="shared" si="7"/>
        <v>429</v>
      </c>
      <c r="C254" s="18">
        <f t="shared" si="8"/>
        <v>18201.125672000002</v>
      </c>
      <c r="D254" s="18">
        <f t="shared" si="9"/>
        <v>3823.6141700000003</v>
      </c>
      <c r="E254" s="18">
        <f t="shared" si="10"/>
        <v>11706.120476000002</v>
      </c>
      <c r="F254" s="18">
        <f t="shared" si="11"/>
        <v>7033.6167380000006</v>
      </c>
      <c r="G254" s="18">
        <f t="shared" si="12"/>
        <v>6485</v>
      </c>
      <c r="H254" s="21">
        <v>0.13599712905077088</v>
      </c>
      <c r="K254" s="17">
        <v>2017</v>
      </c>
      <c r="L254" s="18">
        <v>429</v>
      </c>
      <c r="M254" s="18">
        <v>0.27777800000000002</v>
      </c>
      <c r="N254" s="18">
        <v>18200.847894000002</v>
      </c>
      <c r="O254" s="18">
        <v>3823.6141700000003</v>
      </c>
      <c r="P254" s="18">
        <v>11153.620034000001</v>
      </c>
      <c r="Q254" s="18">
        <v>552.50044200000002</v>
      </c>
      <c r="R254" s="18">
        <v>7033.6167380000006</v>
      </c>
      <c r="S254" s="18">
        <v>6485</v>
      </c>
      <c r="T254" s="18">
        <f t="shared" si="13"/>
        <v>47678.477056000003</v>
      </c>
      <c r="U254" s="21">
        <f t="shared" si="14"/>
        <v>0.13601525049516883</v>
      </c>
    </row>
    <row r="255" spans="1:23" x14ac:dyDescent="0.3">
      <c r="A255" s="17">
        <v>2018</v>
      </c>
      <c r="B255" s="18">
        <f t="shared" si="7"/>
        <v>493</v>
      </c>
      <c r="C255" s="18">
        <f t="shared" si="8"/>
        <v>18607.792664000004</v>
      </c>
      <c r="D255" s="18">
        <f t="shared" si="9"/>
        <v>4012.7809880000004</v>
      </c>
      <c r="E255" s="18">
        <f t="shared" si="10"/>
        <v>12983.343719999999</v>
      </c>
      <c r="F255" s="18">
        <f t="shared" si="11"/>
        <v>6998.3389320000006</v>
      </c>
      <c r="G255" s="18">
        <f t="shared" si="12"/>
        <v>6662</v>
      </c>
      <c r="H255" s="21">
        <v>0.13387261210535467</v>
      </c>
      <c r="K255" s="17">
        <v>2018</v>
      </c>
      <c r="L255" s="18">
        <v>493</v>
      </c>
      <c r="M255" s="18">
        <v>2.2222240000000002</v>
      </c>
      <c r="N255" s="18">
        <v>18605.570440000003</v>
      </c>
      <c r="O255" s="18">
        <v>4012.7809880000004</v>
      </c>
      <c r="P255" s="18">
        <v>12164.454175999999</v>
      </c>
      <c r="Q255" s="18">
        <v>818.88954400000011</v>
      </c>
      <c r="R255" s="18">
        <v>6998.3389320000006</v>
      </c>
      <c r="S255" s="18">
        <v>6662</v>
      </c>
      <c r="T255" s="18">
        <f t="shared" si="13"/>
        <v>49757.256304000002</v>
      </c>
      <c r="U255" s="21">
        <f t="shared" si="14"/>
        <v>0.13389001916217877</v>
      </c>
    </row>
    <row r="256" spans="1:23" x14ac:dyDescent="0.3">
      <c r="A256" s="17">
        <v>2019</v>
      </c>
      <c r="B256" s="18">
        <f t="shared" si="7"/>
        <v>426</v>
      </c>
      <c r="C256" s="18">
        <f t="shared" si="8"/>
        <v>18385.292486000002</v>
      </c>
      <c r="D256" s="18">
        <f t="shared" si="9"/>
        <v>3772.5030180000003</v>
      </c>
      <c r="E256" s="18">
        <f t="shared" si="10"/>
        <v>12528.621134000003</v>
      </c>
      <c r="F256" s="18">
        <f t="shared" si="11"/>
        <v>6756.6720720000003</v>
      </c>
      <c r="G256" s="18">
        <f t="shared" si="12"/>
        <v>6636</v>
      </c>
      <c r="H256" s="21">
        <v>0.13681038786827115</v>
      </c>
      <c r="K256" s="17">
        <v>2019</v>
      </c>
      <c r="L256" s="18">
        <v>426</v>
      </c>
      <c r="M256" s="18">
        <v>2.5000020000000003</v>
      </c>
      <c r="N256" s="18">
        <v>18382.792484000001</v>
      </c>
      <c r="O256" s="18">
        <v>3772.5030180000003</v>
      </c>
      <c r="P256" s="18">
        <v>11773.342752000002</v>
      </c>
      <c r="Q256" s="18">
        <v>755.27838199999997</v>
      </c>
      <c r="R256" s="18">
        <v>6756.6720720000003</v>
      </c>
      <c r="S256" s="18">
        <v>6636</v>
      </c>
      <c r="T256" s="18">
        <f t="shared" si="13"/>
        <v>48505.088710000004</v>
      </c>
      <c r="U256" s="21">
        <f t="shared" si="14"/>
        <v>0.13681038786827115</v>
      </c>
    </row>
    <row r="257" spans="1:21" x14ac:dyDescent="0.3">
      <c r="A257" s="17">
        <v>2020</v>
      </c>
      <c r="B257" s="18">
        <f t="shared" si="7"/>
        <v>261</v>
      </c>
      <c r="C257" s="18">
        <f t="shared" si="8"/>
        <v>16729.180050000003</v>
      </c>
      <c r="D257" s="18">
        <f t="shared" si="9"/>
        <v>3765.0030120000001</v>
      </c>
      <c r="E257" s="18">
        <f t="shared" si="10"/>
        <v>12240.287570000002</v>
      </c>
      <c r="F257" s="18">
        <f t="shared" si="11"/>
        <v>6452.2273840000007</v>
      </c>
      <c r="G257" s="18">
        <f t="shared" si="12"/>
        <v>6484</v>
      </c>
      <c r="H257" s="21">
        <v>0.14187606796394406</v>
      </c>
      <c r="K257" s="17">
        <v>2020</v>
      </c>
      <c r="L257" s="18">
        <v>261</v>
      </c>
      <c r="M257" s="18">
        <v>0.27777800000000002</v>
      </c>
      <c r="N257" s="18">
        <v>16728.902272000003</v>
      </c>
      <c r="O257" s="18">
        <v>3765.0030120000001</v>
      </c>
      <c r="P257" s="18">
        <v>11215.008972000001</v>
      </c>
      <c r="Q257" s="18">
        <v>1025.2785980000001</v>
      </c>
      <c r="R257" s="18">
        <v>6452.2273840000007</v>
      </c>
      <c r="S257" s="18">
        <v>6484</v>
      </c>
      <c r="T257" s="18">
        <f t="shared" si="13"/>
        <v>45931.698016000002</v>
      </c>
      <c r="U257" s="21">
        <f t="shared" si="14"/>
        <v>0.14116612884072655</v>
      </c>
    </row>
    <row r="258" spans="1:21" x14ac:dyDescent="0.3">
      <c r="A258" s="17">
        <v>2021</v>
      </c>
      <c r="B258" s="18">
        <f t="shared" si="7"/>
        <v>195</v>
      </c>
      <c r="C258" s="18">
        <f t="shared" si="8"/>
        <v>17585.291846</v>
      </c>
      <c r="D258" s="18">
        <f t="shared" si="9"/>
        <v>4097.7810560000007</v>
      </c>
      <c r="E258" s="18">
        <f t="shared" si="10"/>
        <v>12408.898816000003</v>
      </c>
      <c r="F258" s="18">
        <f t="shared" si="11"/>
        <v>7483.6170980000006</v>
      </c>
      <c r="G258" s="18">
        <f t="shared" si="12"/>
        <v>6701</v>
      </c>
      <c r="H258" s="21">
        <v>0.13824593259026954</v>
      </c>
      <c r="K258" s="17">
        <v>2021</v>
      </c>
      <c r="L258" s="18">
        <v>195</v>
      </c>
      <c r="M258" s="18">
        <v>0.27777800000000002</v>
      </c>
      <c r="N258" s="18">
        <v>17585.014068</v>
      </c>
      <c r="O258" s="18">
        <v>4097.7810560000007</v>
      </c>
      <c r="P258" s="18">
        <v>11401.675788000002</v>
      </c>
      <c r="Q258" s="18">
        <v>1007.2230280000001</v>
      </c>
      <c r="R258" s="18">
        <v>7483.6170980000006</v>
      </c>
      <c r="S258" s="18">
        <v>6701</v>
      </c>
      <c r="T258" s="18">
        <f t="shared" si="13"/>
        <v>48471.588816000003</v>
      </c>
      <c r="U258" s="21">
        <f t="shared" si="14"/>
        <v>0.13824593259026954</v>
      </c>
    </row>
    <row r="259" spans="1:21" x14ac:dyDescent="0.3">
      <c r="A259" s="17">
        <v>2022</v>
      </c>
      <c r="B259" s="18">
        <f t="shared" si="7"/>
        <v>136</v>
      </c>
      <c r="C259" s="18">
        <f t="shared" si="8"/>
        <v>18061.403338</v>
      </c>
      <c r="D259" s="18">
        <f t="shared" si="9"/>
        <v>3469.1694420000003</v>
      </c>
      <c r="E259" s="18">
        <f t="shared" si="10"/>
        <v>12509.176674000002</v>
      </c>
      <c r="F259" s="18">
        <f t="shared" si="11"/>
        <v>6565.5608080000002</v>
      </c>
      <c r="G259" s="18">
        <f t="shared" si="12"/>
        <v>6465</v>
      </c>
      <c r="H259" s="21">
        <v>0.13691546310343586</v>
      </c>
      <c r="K259" s="17">
        <v>2022</v>
      </c>
      <c r="L259" s="18">
        <v>136</v>
      </c>
      <c r="M259" s="18">
        <v>0.27777800000000002</v>
      </c>
      <c r="N259" s="18">
        <v>18061.12556</v>
      </c>
      <c r="O259" s="18">
        <v>3469.1694420000003</v>
      </c>
      <c r="P259" s="18">
        <v>11419.731358000003</v>
      </c>
      <c r="Q259" s="18">
        <v>1089.445316</v>
      </c>
      <c r="R259" s="18">
        <v>6565.5608080000002</v>
      </c>
      <c r="S259" s="18">
        <v>6465</v>
      </c>
      <c r="T259" s="18">
        <f t="shared" si="13"/>
        <v>47206.310262000006</v>
      </c>
      <c r="U259" s="21">
        <f t="shared" si="14"/>
        <v>0.13695202959347103</v>
      </c>
    </row>
    <row r="260" spans="1:21" x14ac:dyDescent="0.3">
      <c r="A260" s="17">
        <v>2023</v>
      </c>
      <c r="B260" s="18">
        <f t="shared" si="7"/>
        <v>141</v>
      </c>
      <c r="C260" s="18">
        <f t="shared" si="8"/>
        <v>18342.236896000002</v>
      </c>
      <c r="D260" s="18">
        <f t="shared" si="9"/>
        <v>3139.4469560000002</v>
      </c>
      <c r="E260" s="18">
        <f t="shared" si="10"/>
        <v>12509.176674</v>
      </c>
      <c r="F260" s="18">
        <f t="shared" si="11"/>
        <v>6092.5048740000002</v>
      </c>
      <c r="G260" s="18">
        <f t="shared" si="12"/>
        <v>6281</v>
      </c>
      <c r="H260" s="21">
        <v>0.13485505062942529</v>
      </c>
      <c r="K260" s="17">
        <v>2023</v>
      </c>
      <c r="L260" s="18">
        <v>141</v>
      </c>
      <c r="M260" s="18">
        <v>0.27777800000000002</v>
      </c>
      <c r="N260" s="18">
        <v>18341.959118000002</v>
      </c>
      <c r="O260" s="18">
        <v>3139.4469560000002</v>
      </c>
      <c r="P260" s="18">
        <v>11449.453604</v>
      </c>
      <c r="Q260" s="18">
        <v>1059.72307</v>
      </c>
      <c r="R260" s="18">
        <v>6092.5048740000002</v>
      </c>
      <c r="S260" s="18">
        <v>6281</v>
      </c>
      <c r="T260" s="18">
        <f t="shared" si="13"/>
        <v>46505.365400000002</v>
      </c>
      <c r="U260" s="21">
        <f t="shared" si="14"/>
        <v>0.13505968496271614</v>
      </c>
    </row>
    <row r="261" spans="1:21" x14ac:dyDescent="0.3">
      <c r="A261" s="17">
        <v>2024</v>
      </c>
      <c r="B261" s="18">
        <f t="shared" si="7"/>
        <v>124</v>
      </c>
      <c r="C261" s="18">
        <f t="shared" si="8"/>
        <v>17061.680316000002</v>
      </c>
      <c r="D261" s="18">
        <f t="shared" si="9"/>
        <v>3257.7803840000001</v>
      </c>
      <c r="E261" s="18">
        <f t="shared" si="10"/>
        <v>12904.732546000001</v>
      </c>
      <c r="F261" s="18">
        <f t="shared" si="11"/>
        <v>6151.9493660000007</v>
      </c>
      <c r="G261" s="18">
        <f t="shared" si="12"/>
        <v>6513</v>
      </c>
      <c r="H261" s="21">
        <v>0.14154651541452076</v>
      </c>
      <c r="K261" s="17">
        <v>2024</v>
      </c>
      <c r="L261" s="18">
        <v>124</v>
      </c>
      <c r="M261" s="18">
        <v>0.27777800000000002</v>
      </c>
      <c r="N261" s="18">
        <v>17061.402538000002</v>
      </c>
      <c r="O261" s="18">
        <v>3257.7803840000001</v>
      </c>
      <c r="P261" s="18">
        <v>11951.398450000001</v>
      </c>
      <c r="Q261" s="18">
        <v>953.33409600000016</v>
      </c>
      <c r="R261" s="18">
        <v>6151.9493660000007</v>
      </c>
      <c r="S261" s="18">
        <v>6513</v>
      </c>
      <c r="T261" s="18">
        <f t="shared" si="13"/>
        <v>46013.142612000003</v>
      </c>
      <c r="U261" s="21">
        <f t="shared" si="14"/>
        <v>0.14154651541452076</v>
      </c>
    </row>
    <row r="263" spans="1:21" ht="18" customHeight="1" x14ac:dyDescent="0.3">
      <c r="A263" s="10" t="s">
        <v>317</v>
      </c>
    </row>
    <row r="264" spans="1:21" ht="32" customHeight="1" x14ac:dyDescent="0.3">
      <c r="A264" s="11" t="s">
        <v>73</v>
      </c>
      <c r="B264" s="11" t="s">
        <v>316</v>
      </c>
    </row>
    <row r="265" spans="1:21" x14ac:dyDescent="0.3">
      <c r="A265" s="17">
        <v>2000</v>
      </c>
      <c r="B265" s="25">
        <v>2.0819999999999999</v>
      </c>
    </row>
    <row r="266" spans="1:21" x14ac:dyDescent="0.3">
      <c r="A266" s="17">
        <v>2001</v>
      </c>
      <c r="B266" s="25">
        <v>2.2130000000000001</v>
      </c>
    </row>
    <row r="267" spans="1:21" x14ac:dyDescent="0.3">
      <c r="A267" s="17">
        <v>2002</v>
      </c>
      <c r="B267" s="25">
        <v>2.3069999999999999</v>
      </c>
    </row>
    <row r="268" spans="1:21" x14ac:dyDescent="0.3">
      <c r="A268" s="17">
        <v>2003</v>
      </c>
      <c r="B268" s="25">
        <v>2.4940000000000002</v>
      </c>
    </row>
    <row r="269" spans="1:21" x14ac:dyDescent="0.3">
      <c r="A269" s="17">
        <v>2004</v>
      </c>
      <c r="B269" s="25">
        <v>2.6080000000000001</v>
      </c>
    </row>
    <row r="270" spans="1:21" x14ac:dyDescent="0.3">
      <c r="A270" s="17">
        <v>2005</v>
      </c>
      <c r="B270" s="25">
        <v>2.7770000000000001</v>
      </c>
    </row>
    <row r="271" spans="1:21" x14ac:dyDescent="0.3">
      <c r="A271" s="17">
        <v>2006</v>
      </c>
      <c r="B271" s="25">
        <v>2.9660000000000002</v>
      </c>
    </row>
    <row r="272" spans="1:21" x14ac:dyDescent="0.3">
      <c r="A272" s="17">
        <v>2007</v>
      </c>
      <c r="B272" s="25">
        <v>3.1680000000000001</v>
      </c>
    </row>
    <row r="273" spans="1:2" x14ac:dyDescent="0.3">
      <c r="A273" s="17">
        <v>2008</v>
      </c>
      <c r="B273" s="25">
        <v>3.2120000000000002</v>
      </c>
    </row>
    <row r="274" spans="1:2" x14ac:dyDescent="0.3">
      <c r="A274" s="17">
        <v>2009</v>
      </c>
      <c r="B274" s="25">
        <v>3.0259999999999998</v>
      </c>
    </row>
    <row r="275" spans="1:2" x14ac:dyDescent="0.3">
      <c r="A275" s="17">
        <v>2010</v>
      </c>
      <c r="B275" s="25">
        <v>3.2309999999999999</v>
      </c>
    </row>
    <row r="276" spans="1:2" x14ac:dyDescent="0.3">
      <c r="A276" s="17">
        <v>2011</v>
      </c>
      <c r="B276" s="25">
        <v>3.2650000000000001</v>
      </c>
    </row>
    <row r="277" spans="1:2" x14ac:dyDescent="0.3">
      <c r="A277" s="17">
        <v>2012</v>
      </c>
      <c r="B277" s="25">
        <v>3.589</v>
      </c>
    </row>
    <row r="278" spans="1:2" x14ac:dyDescent="0.3">
      <c r="A278" s="17">
        <v>2013</v>
      </c>
      <c r="B278" s="25">
        <v>3.472</v>
      </c>
    </row>
    <row r="279" spans="1:2" x14ac:dyDescent="0.3">
      <c r="A279" s="17">
        <v>2014</v>
      </c>
      <c r="B279" s="25">
        <v>3.5059999999999998</v>
      </c>
    </row>
    <row r="280" spans="1:2" x14ac:dyDescent="0.3">
      <c r="A280" s="17">
        <v>2015</v>
      </c>
      <c r="B280" s="25">
        <v>3.492</v>
      </c>
    </row>
    <row r="281" spans="1:2" x14ac:dyDescent="0.3">
      <c r="A281" s="17">
        <v>2016</v>
      </c>
      <c r="B281" s="25">
        <v>3.5640000000000001</v>
      </c>
    </row>
    <row r="282" spans="1:2" x14ac:dyDescent="0.3">
      <c r="A282" s="17">
        <v>2017</v>
      </c>
      <c r="B282" s="25">
        <v>3.6030000000000002</v>
      </c>
    </row>
    <row r="283" spans="1:2" x14ac:dyDescent="0.3">
      <c r="A283" s="17">
        <v>2018</v>
      </c>
      <c r="B283" s="25">
        <v>3.7309999999999999</v>
      </c>
    </row>
    <row r="284" spans="1:2" x14ac:dyDescent="0.3">
      <c r="A284" s="17">
        <v>2019</v>
      </c>
      <c r="B284" s="25">
        <v>3.7269999999999999</v>
      </c>
    </row>
    <row r="285" spans="1:2" x14ac:dyDescent="0.3">
      <c r="A285" s="17">
        <v>2020</v>
      </c>
      <c r="B285" s="25">
        <v>3.6680000000000001</v>
      </c>
    </row>
    <row r="286" spans="1:2" x14ac:dyDescent="0.3">
      <c r="A286" s="17">
        <v>2021</v>
      </c>
      <c r="B286" s="25">
        <v>3.8370000000000002</v>
      </c>
    </row>
    <row r="287" spans="1:2" x14ac:dyDescent="0.3">
      <c r="A287" s="17">
        <v>2022</v>
      </c>
      <c r="B287" s="25">
        <v>3.702</v>
      </c>
    </row>
    <row r="288" spans="1:2" x14ac:dyDescent="0.3">
      <c r="A288" s="17">
        <v>2023</v>
      </c>
      <c r="B288" s="25">
        <v>3.62</v>
      </c>
    </row>
    <row r="289" spans="1:14" x14ac:dyDescent="0.3">
      <c r="A289" s="17">
        <v>2024</v>
      </c>
      <c r="B289" s="25">
        <v>3.778</v>
      </c>
    </row>
    <row r="291" spans="1:14" x14ac:dyDescent="0.3">
      <c r="A291" s="78" t="s">
        <v>315</v>
      </c>
      <c r="B291" s="78"/>
      <c r="C291" s="78"/>
      <c r="D291" s="78"/>
      <c r="N291" s="32">
        <v>0.27800000000000002</v>
      </c>
    </row>
    <row r="293" spans="1:14" ht="18" customHeight="1" x14ac:dyDescent="0.3">
      <c r="A293" s="10" t="s">
        <v>641</v>
      </c>
    </row>
    <row r="294" spans="1:14" ht="19" customHeight="1" x14ac:dyDescent="0.3">
      <c r="A294" s="22" t="s">
        <v>640</v>
      </c>
      <c r="B294" s="11">
        <v>2014</v>
      </c>
      <c r="C294" s="11">
        <v>2015</v>
      </c>
      <c r="D294" s="11">
        <v>2016</v>
      </c>
      <c r="E294" s="11">
        <v>2017</v>
      </c>
      <c r="F294" s="11">
        <v>2018</v>
      </c>
      <c r="G294" s="11">
        <v>2019</v>
      </c>
      <c r="H294" s="11">
        <v>2020</v>
      </c>
      <c r="I294" s="11">
        <v>2021</v>
      </c>
      <c r="J294" s="11">
        <v>2022</v>
      </c>
      <c r="K294" s="11">
        <v>2023</v>
      </c>
    </row>
    <row r="295" spans="1:14" x14ac:dyDescent="0.3">
      <c r="A295" s="23" t="s">
        <v>313</v>
      </c>
      <c r="B295" s="18">
        <v>71.871340000000004</v>
      </c>
      <c r="C295" s="18">
        <v>72.36590200000002</v>
      </c>
      <c r="D295" s="18">
        <v>73.763964000000016</v>
      </c>
      <c r="E295" s="18">
        <v>68.147530000000003</v>
      </c>
      <c r="F295" s="18">
        <v>68.706866000000005</v>
      </c>
      <c r="G295" s="18">
        <v>67.780292000000003</v>
      </c>
      <c r="H295" s="18">
        <v>72.329762000000002</v>
      </c>
      <c r="I295" s="18">
        <v>74.344428000000008</v>
      </c>
      <c r="J295" s="18">
        <v>69.290388000000007</v>
      </c>
      <c r="K295" s="18">
        <v>67.800308000000001</v>
      </c>
    </row>
    <row r="296" spans="1:14" x14ac:dyDescent="0.3">
      <c r="A296" s="23" t="s">
        <v>312</v>
      </c>
      <c r="B296" s="18">
        <v>0</v>
      </c>
      <c r="C296" s="18">
        <v>0</v>
      </c>
      <c r="D296" s="18">
        <v>0</v>
      </c>
      <c r="E296" s="18">
        <v>0</v>
      </c>
      <c r="F296" s="18">
        <v>0</v>
      </c>
      <c r="G296" s="18">
        <v>0</v>
      </c>
      <c r="H296" s="18">
        <v>0</v>
      </c>
      <c r="I296" s="18">
        <v>0</v>
      </c>
      <c r="J296" s="18">
        <v>0</v>
      </c>
      <c r="K296" s="18">
        <v>0</v>
      </c>
    </row>
    <row r="297" spans="1:14" x14ac:dyDescent="0.3">
      <c r="A297" s="23" t="s">
        <v>161</v>
      </c>
      <c r="B297" s="18">
        <v>347.17752000000002</v>
      </c>
      <c r="C297" s="18">
        <v>349.56137000000001</v>
      </c>
      <c r="D297" s="18">
        <v>356.31871600000005</v>
      </c>
      <c r="E297" s="18">
        <v>329.187028</v>
      </c>
      <c r="F297" s="18">
        <v>331.89141200000006</v>
      </c>
      <c r="G297" s="18">
        <v>327.41783600000002</v>
      </c>
      <c r="H297" s="18">
        <v>349.39234600000003</v>
      </c>
      <c r="I297" s="18">
        <v>359.12206800000007</v>
      </c>
      <c r="J297" s="18">
        <v>335.14178800000002</v>
      </c>
      <c r="K297" s="18">
        <v>327.50874200000004</v>
      </c>
    </row>
    <row r="298" spans="1:14" x14ac:dyDescent="0.3">
      <c r="A298" s="9" t="s">
        <v>265</v>
      </c>
    </row>
    <row r="300" spans="1:14" ht="18" customHeight="1" x14ac:dyDescent="0.3">
      <c r="A300" s="10" t="s">
        <v>311</v>
      </c>
    </row>
    <row r="301" spans="1:14" ht="32" customHeight="1" x14ac:dyDescent="0.3">
      <c r="A301" s="11" t="s">
        <v>73</v>
      </c>
      <c r="B301" s="11" t="s">
        <v>639</v>
      </c>
      <c r="C301" s="11" t="s">
        <v>308</v>
      </c>
      <c r="D301" s="11" t="s">
        <v>309</v>
      </c>
      <c r="E301" s="11" t="s">
        <v>638</v>
      </c>
    </row>
    <row r="302" spans="1:14" x14ac:dyDescent="0.3">
      <c r="A302" s="17">
        <v>2008</v>
      </c>
      <c r="B302" s="14">
        <v>138</v>
      </c>
      <c r="C302" s="14">
        <v>76</v>
      </c>
      <c r="D302" s="14">
        <v>43</v>
      </c>
      <c r="E302" s="14">
        <v>19</v>
      </c>
    </row>
    <row r="303" spans="1:14" x14ac:dyDescent="0.3">
      <c r="A303" s="17">
        <v>2009</v>
      </c>
      <c r="B303" s="14">
        <v>121</v>
      </c>
      <c r="C303" s="14">
        <v>69</v>
      </c>
      <c r="D303" s="14">
        <v>40</v>
      </c>
      <c r="E303" s="14">
        <v>12</v>
      </c>
    </row>
    <row r="304" spans="1:14" x14ac:dyDescent="0.3">
      <c r="A304" s="17">
        <v>2010</v>
      </c>
      <c r="B304" s="14">
        <v>126</v>
      </c>
      <c r="C304" s="14">
        <v>67</v>
      </c>
      <c r="D304" s="14">
        <v>40</v>
      </c>
      <c r="E304" s="14">
        <v>19</v>
      </c>
    </row>
    <row r="305" spans="1:5" x14ac:dyDescent="0.3">
      <c r="A305" s="17">
        <v>2011</v>
      </c>
      <c r="B305" s="14">
        <v>124</v>
      </c>
      <c r="C305" s="14">
        <v>65</v>
      </c>
      <c r="D305" s="14">
        <v>40</v>
      </c>
      <c r="E305" s="14">
        <v>19</v>
      </c>
    </row>
    <row r="306" spans="1:5" x14ac:dyDescent="0.3">
      <c r="A306" s="17">
        <v>2012</v>
      </c>
      <c r="B306" s="14">
        <v>129</v>
      </c>
      <c r="C306" s="14">
        <v>65</v>
      </c>
      <c r="D306" s="14">
        <v>40</v>
      </c>
      <c r="E306" s="14">
        <v>24</v>
      </c>
    </row>
    <row r="307" spans="1:5" x14ac:dyDescent="0.3">
      <c r="A307" s="17">
        <v>2013</v>
      </c>
      <c r="B307" s="14">
        <v>124</v>
      </c>
      <c r="C307" s="14">
        <v>65</v>
      </c>
      <c r="D307" s="14">
        <v>39</v>
      </c>
      <c r="E307" s="14">
        <v>20</v>
      </c>
    </row>
    <row r="308" spans="1:5" x14ac:dyDescent="0.3">
      <c r="A308" s="17">
        <v>2014</v>
      </c>
      <c r="B308" s="14">
        <v>117</v>
      </c>
      <c r="C308" s="14">
        <v>57</v>
      </c>
      <c r="D308" s="14">
        <v>40</v>
      </c>
      <c r="E308" s="14">
        <v>20</v>
      </c>
    </row>
    <row r="309" spans="1:5" x14ac:dyDescent="0.3">
      <c r="A309" s="17">
        <v>2015</v>
      </c>
      <c r="B309" s="14">
        <v>107</v>
      </c>
      <c r="C309" s="14">
        <v>26</v>
      </c>
      <c r="D309" s="14">
        <v>66</v>
      </c>
      <c r="E309" s="14">
        <v>14</v>
      </c>
    </row>
    <row r="310" spans="1:5" x14ac:dyDescent="0.3">
      <c r="A310" s="17">
        <v>2016</v>
      </c>
      <c r="B310" s="14">
        <v>105</v>
      </c>
      <c r="C310" s="14">
        <v>27</v>
      </c>
      <c r="D310" s="14">
        <v>66</v>
      </c>
      <c r="E310" s="14">
        <v>12</v>
      </c>
    </row>
    <row r="311" spans="1:5" x14ac:dyDescent="0.3">
      <c r="A311" s="17">
        <v>2017</v>
      </c>
      <c r="B311" s="14">
        <v>105</v>
      </c>
      <c r="C311" s="14">
        <v>28</v>
      </c>
      <c r="D311" s="14">
        <v>66</v>
      </c>
      <c r="E311" s="14">
        <v>11</v>
      </c>
    </row>
    <row r="312" spans="1:5" x14ac:dyDescent="0.3">
      <c r="A312" s="17">
        <v>2018</v>
      </c>
      <c r="B312" s="14">
        <v>104</v>
      </c>
      <c r="C312" s="14">
        <v>29</v>
      </c>
      <c r="D312" s="14">
        <v>68</v>
      </c>
      <c r="E312" s="14">
        <v>7</v>
      </c>
    </row>
    <row r="313" spans="1:5" x14ac:dyDescent="0.3">
      <c r="A313" s="17">
        <v>2019</v>
      </c>
      <c r="B313" s="14">
        <v>101</v>
      </c>
      <c r="C313" s="14">
        <v>27</v>
      </c>
      <c r="D313" s="14">
        <v>68</v>
      </c>
      <c r="E313" s="14">
        <v>6</v>
      </c>
    </row>
    <row r="314" spans="1:5" x14ac:dyDescent="0.3">
      <c r="A314" s="17">
        <v>2020</v>
      </c>
      <c r="B314" s="14">
        <v>94</v>
      </c>
      <c r="C314" s="14">
        <v>27</v>
      </c>
      <c r="D314" s="14">
        <v>63</v>
      </c>
      <c r="E314" s="14">
        <v>4</v>
      </c>
    </row>
    <row r="315" spans="1:5" x14ac:dyDescent="0.3">
      <c r="A315" s="17">
        <v>2021</v>
      </c>
      <c r="B315" s="14">
        <v>98</v>
      </c>
      <c r="C315" s="14">
        <v>29</v>
      </c>
      <c r="D315" s="14">
        <v>66</v>
      </c>
      <c r="E315" s="14">
        <v>3</v>
      </c>
    </row>
    <row r="316" spans="1:5" x14ac:dyDescent="0.3">
      <c r="A316" s="17">
        <v>2022</v>
      </c>
      <c r="B316" s="14">
        <v>101</v>
      </c>
      <c r="C316" s="14">
        <v>34</v>
      </c>
      <c r="D316" s="14">
        <v>65</v>
      </c>
      <c r="E316" s="14">
        <v>2</v>
      </c>
    </row>
    <row r="317" spans="1:5" x14ac:dyDescent="0.3">
      <c r="A317" s="17">
        <v>2023</v>
      </c>
      <c r="B317" s="14">
        <v>107</v>
      </c>
      <c r="C317" s="14">
        <v>43</v>
      </c>
      <c r="D317" s="14">
        <v>63</v>
      </c>
      <c r="E317" s="14">
        <v>1</v>
      </c>
    </row>
    <row r="318" spans="1:5" x14ac:dyDescent="0.3">
      <c r="A318" s="17">
        <v>2024</v>
      </c>
      <c r="B318" s="14">
        <v>122</v>
      </c>
      <c r="C318" s="14">
        <v>55</v>
      </c>
      <c r="D318" s="14">
        <v>66</v>
      </c>
      <c r="E318" s="14">
        <v>1</v>
      </c>
    </row>
    <row r="319" spans="1:5" x14ac:dyDescent="0.3">
      <c r="A319" s="9" t="s">
        <v>265</v>
      </c>
    </row>
    <row r="321" spans="1:14" ht="18" customHeight="1" x14ac:dyDescent="0.3">
      <c r="A321" s="10" t="s">
        <v>306</v>
      </c>
    </row>
    <row r="322" spans="1:14" ht="19" customHeight="1" x14ac:dyDescent="0.3">
      <c r="A322" s="22" t="s">
        <v>305</v>
      </c>
      <c r="B322" s="11">
        <v>2020</v>
      </c>
      <c r="C322" s="11">
        <v>2021</v>
      </c>
      <c r="D322" s="11">
        <v>2022</v>
      </c>
      <c r="E322" s="11">
        <v>2023</v>
      </c>
    </row>
    <row r="323" spans="1:14" x14ac:dyDescent="0.3">
      <c r="A323" s="15" t="s">
        <v>241</v>
      </c>
      <c r="B323" s="27">
        <v>2495.6488120000004</v>
      </c>
      <c r="C323" s="27">
        <v>2587.0410340000003</v>
      </c>
      <c r="D323" s="27">
        <v>2524.569986</v>
      </c>
      <c r="E323" s="27">
        <v>2489.5939720000001</v>
      </c>
    </row>
    <row r="324" spans="1:14" x14ac:dyDescent="0.3">
      <c r="A324" s="23" t="s">
        <v>304</v>
      </c>
      <c r="B324" s="18">
        <v>584</v>
      </c>
      <c r="C324" s="18">
        <v>564</v>
      </c>
      <c r="D324" s="18">
        <v>559</v>
      </c>
      <c r="E324" s="18">
        <v>564</v>
      </c>
    </row>
    <row r="325" spans="1:14" x14ac:dyDescent="0.3">
      <c r="A325" s="23" t="s">
        <v>303</v>
      </c>
      <c r="B325" s="18">
        <v>450</v>
      </c>
      <c r="C325" s="18">
        <v>466</v>
      </c>
      <c r="D325" s="18">
        <v>417</v>
      </c>
      <c r="E325" s="18">
        <v>398</v>
      </c>
    </row>
    <row r="326" spans="1:14" x14ac:dyDescent="0.3">
      <c r="A326" s="23" t="s">
        <v>302</v>
      </c>
      <c r="B326" s="18">
        <v>237</v>
      </c>
      <c r="C326" s="18">
        <v>242</v>
      </c>
      <c r="D326" s="18">
        <v>220</v>
      </c>
      <c r="E326" s="18">
        <v>198</v>
      </c>
    </row>
    <row r="327" spans="1:14" x14ac:dyDescent="0.3">
      <c r="A327" s="23" t="s">
        <v>301</v>
      </c>
      <c r="B327" s="18">
        <v>79</v>
      </c>
      <c r="C327" s="18">
        <v>91</v>
      </c>
      <c r="D327" s="18">
        <v>100</v>
      </c>
      <c r="E327" s="18">
        <v>104</v>
      </c>
    </row>
    <row r="328" spans="1:14" x14ac:dyDescent="0.3">
      <c r="A328" s="23" t="s">
        <v>300</v>
      </c>
      <c r="B328" s="18">
        <v>1086</v>
      </c>
      <c r="C328" s="18">
        <v>1169</v>
      </c>
      <c r="D328" s="18">
        <v>1162</v>
      </c>
      <c r="E328" s="18">
        <v>1156</v>
      </c>
    </row>
    <row r="329" spans="1:14" x14ac:dyDescent="0.3">
      <c r="A329" s="23" t="s">
        <v>299</v>
      </c>
      <c r="B329" s="18">
        <v>60</v>
      </c>
      <c r="C329" s="18">
        <v>56</v>
      </c>
      <c r="D329" s="18">
        <v>66</v>
      </c>
      <c r="E329" s="18">
        <v>70</v>
      </c>
    </row>
    <row r="330" spans="1:14" x14ac:dyDescent="0.3">
      <c r="A330" s="9" t="s">
        <v>265</v>
      </c>
    </row>
    <row r="332" spans="1:14" ht="18" customHeight="1" x14ac:dyDescent="0.3">
      <c r="A332" s="10" t="s">
        <v>637</v>
      </c>
    </row>
    <row r="333" spans="1:14" ht="39" x14ac:dyDescent="0.3">
      <c r="A333" s="11" t="s">
        <v>73</v>
      </c>
      <c r="B333" s="11" t="s">
        <v>636</v>
      </c>
      <c r="C333" s="11" t="s">
        <v>635</v>
      </c>
      <c r="D333" s="11" t="s">
        <v>634</v>
      </c>
      <c r="E333" s="11" t="s">
        <v>633</v>
      </c>
      <c r="F333" s="11" t="s">
        <v>293</v>
      </c>
      <c r="G333" s="11" t="s">
        <v>292</v>
      </c>
      <c r="H333" s="11" t="s">
        <v>37</v>
      </c>
      <c r="I333" s="11" t="s">
        <v>291</v>
      </c>
      <c r="J333" s="11" t="s">
        <v>290</v>
      </c>
      <c r="K333" s="11" t="s">
        <v>632</v>
      </c>
      <c r="L333" s="11" t="s">
        <v>631</v>
      </c>
      <c r="M333" s="11" t="s">
        <v>630</v>
      </c>
      <c r="N333" s="11" t="s">
        <v>629</v>
      </c>
    </row>
    <row r="334" spans="1:14" x14ac:dyDescent="0.3">
      <c r="A334" s="17">
        <v>2008</v>
      </c>
      <c r="B334" s="18">
        <v>1540.1200000000001</v>
      </c>
      <c r="C334" s="18">
        <v>142.05800000000002</v>
      </c>
      <c r="D334" s="18">
        <v>65.052000000000007</v>
      </c>
      <c r="E334" s="18">
        <v>1.1120000000000001</v>
      </c>
      <c r="F334" s="18">
        <v>192.09800000000001</v>
      </c>
      <c r="G334" s="18">
        <v>55.878000000000007</v>
      </c>
      <c r="H334" s="18">
        <v>136.22</v>
      </c>
      <c r="I334" s="18">
        <v>11.954000000000001</v>
      </c>
      <c r="J334" s="18">
        <v>346.11</v>
      </c>
      <c r="K334" s="18">
        <v>41.144000000000005</v>
      </c>
      <c r="L334" s="18">
        <v>408.38200000000006</v>
      </c>
      <c r="M334" s="18">
        <v>70.056000000000012</v>
      </c>
      <c r="N334" s="18">
        <v>70.056000000000012</v>
      </c>
    </row>
    <row r="335" spans="1:14" x14ac:dyDescent="0.3">
      <c r="A335" s="17">
        <v>2009</v>
      </c>
      <c r="B335" s="18">
        <v>1390.0000000000002</v>
      </c>
      <c r="C335" s="18">
        <v>133.99600000000001</v>
      </c>
      <c r="D335" s="18">
        <v>58.936000000000007</v>
      </c>
      <c r="E335" s="18">
        <v>1.1120000000000001</v>
      </c>
      <c r="F335" s="18">
        <v>176.25200000000001</v>
      </c>
      <c r="G335" s="18">
        <v>38.086000000000006</v>
      </c>
      <c r="H335" s="18">
        <v>85.902000000000001</v>
      </c>
      <c r="I335" s="18">
        <v>8.8960000000000008</v>
      </c>
      <c r="J335" s="18">
        <v>282.17</v>
      </c>
      <c r="K335" s="18">
        <v>46.982000000000006</v>
      </c>
      <c r="L335" s="18">
        <v>458.42200000000003</v>
      </c>
      <c r="M335" s="18">
        <v>51.152000000000001</v>
      </c>
      <c r="N335" s="18">
        <v>48.094000000000001</v>
      </c>
    </row>
    <row r="336" spans="1:14" x14ac:dyDescent="0.3">
      <c r="A336" s="17">
        <v>2010</v>
      </c>
      <c r="B336" s="18">
        <v>1485.076</v>
      </c>
      <c r="C336" s="18">
        <v>148.17400000000001</v>
      </c>
      <c r="D336" s="18">
        <v>63.106000000000009</v>
      </c>
      <c r="E336" s="18">
        <v>1.1120000000000001</v>
      </c>
      <c r="F336" s="18">
        <v>222.12200000000001</v>
      </c>
      <c r="G336" s="18">
        <v>31.136000000000003</v>
      </c>
      <c r="H336" s="18">
        <v>96.188000000000002</v>
      </c>
      <c r="I336" s="18">
        <v>18.07</v>
      </c>
      <c r="J336" s="18">
        <v>292.17800000000005</v>
      </c>
      <c r="K336" s="18">
        <v>31.970000000000002</v>
      </c>
      <c r="L336" s="18">
        <v>477.32600000000002</v>
      </c>
      <c r="M336" s="18">
        <v>40.032000000000004</v>
      </c>
      <c r="N336" s="18">
        <v>63.662000000000006</v>
      </c>
    </row>
    <row r="337" spans="1:14" x14ac:dyDescent="0.3">
      <c r="A337" s="17">
        <v>2011</v>
      </c>
      <c r="B337" s="18">
        <v>1580.152</v>
      </c>
      <c r="C337" s="18">
        <v>189.04000000000002</v>
      </c>
      <c r="D337" s="18">
        <v>68.944000000000003</v>
      </c>
      <c r="E337" s="18">
        <v>1.9460000000000002</v>
      </c>
      <c r="F337" s="18">
        <v>239.08</v>
      </c>
      <c r="G337" s="18">
        <v>36.14</v>
      </c>
      <c r="H337" s="18">
        <v>108.14200000000001</v>
      </c>
      <c r="I337" s="18">
        <v>11.954000000000001</v>
      </c>
      <c r="J337" s="18">
        <v>293.29000000000002</v>
      </c>
      <c r="K337" s="18">
        <v>31.136000000000003</v>
      </c>
      <c r="L337" s="18">
        <v>498.45400000000006</v>
      </c>
      <c r="M337" s="18">
        <v>41.978000000000002</v>
      </c>
      <c r="N337" s="18">
        <v>60.048000000000002</v>
      </c>
    </row>
    <row r="338" spans="1:14" x14ac:dyDescent="0.3">
      <c r="A338" s="17">
        <v>2012</v>
      </c>
      <c r="B338" s="18">
        <v>1910.6940000000002</v>
      </c>
      <c r="C338" s="18">
        <v>486.50000000000006</v>
      </c>
      <c r="D338" s="18">
        <v>72.00200000000001</v>
      </c>
      <c r="E338" s="18">
        <v>1.9460000000000002</v>
      </c>
      <c r="F338" s="18">
        <v>244.08400000000003</v>
      </c>
      <c r="G338" s="18">
        <v>38.086000000000006</v>
      </c>
      <c r="H338" s="18">
        <v>110.08800000000001</v>
      </c>
      <c r="I338" s="18">
        <v>11.120000000000001</v>
      </c>
      <c r="J338" s="18">
        <v>258.262</v>
      </c>
      <c r="K338" s="18">
        <v>31.970000000000002</v>
      </c>
      <c r="L338" s="18">
        <v>560.44800000000009</v>
      </c>
      <c r="M338" s="18">
        <v>36.14</v>
      </c>
      <c r="N338" s="18">
        <v>60.048000000000002</v>
      </c>
    </row>
    <row r="339" spans="1:14" x14ac:dyDescent="0.3">
      <c r="A339" s="17">
        <v>2013</v>
      </c>
      <c r="B339" s="18">
        <v>1739.4460000000001</v>
      </c>
      <c r="C339" s="18">
        <v>141.22400000000002</v>
      </c>
      <c r="D339" s="18">
        <v>71.724000000000004</v>
      </c>
      <c r="E339" s="18">
        <v>1.1120000000000001</v>
      </c>
      <c r="F339" s="18">
        <v>256.03800000000001</v>
      </c>
      <c r="G339" s="18">
        <v>53.098000000000006</v>
      </c>
      <c r="H339" s="18">
        <v>116.20400000000001</v>
      </c>
      <c r="I339" s="18">
        <v>21.128</v>
      </c>
      <c r="J339" s="18">
        <v>320.25600000000003</v>
      </c>
      <c r="K339" s="18">
        <v>28.912000000000003</v>
      </c>
      <c r="L339" s="18">
        <v>625.5</v>
      </c>
      <c r="M339" s="18">
        <v>41.144000000000005</v>
      </c>
      <c r="N339" s="18">
        <v>63.106000000000009</v>
      </c>
    </row>
    <row r="340" spans="1:14" x14ac:dyDescent="0.3">
      <c r="A340" s="17">
        <v>2014</v>
      </c>
      <c r="B340" s="18">
        <v>1590.7160000000001</v>
      </c>
      <c r="C340" s="18">
        <v>15.012</v>
      </c>
      <c r="D340" s="18">
        <v>60.048000000000002</v>
      </c>
      <c r="E340" s="18">
        <v>1.1120000000000001</v>
      </c>
      <c r="F340" s="18">
        <v>266.32400000000001</v>
      </c>
      <c r="G340" s="18">
        <v>35.028000000000006</v>
      </c>
      <c r="H340" s="18">
        <v>108.14200000000001</v>
      </c>
      <c r="I340" s="18">
        <v>13.900000000000002</v>
      </c>
      <c r="J340" s="18">
        <v>280.22400000000005</v>
      </c>
      <c r="K340" s="18">
        <v>30.024000000000001</v>
      </c>
      <c r="L340" s="18">
        <v>681.65600000000006</v>
      </c>
      <c r="M340" s="18">
        <v>33.082000000000001</v>
      </c>
      <c r="N340" s="18">
        <v>66.164000000000001</v>
      </c>
    </row>
    <row r="341" spans="1:14" x14ac:dyDescent="0.3">
      <c r="A341" s="17">
        <v>2015</v>
      </c>
      <c r="B341" s="18">
        <v>1630.1920000000002</v>
      </c>
      <c r="C341" s="18">
        <v>48.928000000000004</v>
      </c>
      <c r="D341" s="18">
        <v>61.994000000000007</v>
      </c>
      <c r="E341" s="18">
        <v>0.27800000000000002</v>
      </c>
      <c r="F341" s="18">
        <v>239.35800000000003</v>
      </c>
      <c r="G341" s="18">
        <v>44.202000000000005</v>
      </c>
      <c r="H341" s="18">
        <v>93.13000000000001</v>
      </c>
      <c r="I341" s="18">
        <v>15.012</v>
      </c>
      <c r="J341" s="18">
        <v>278.27800000000002</v>
      </c>
      <c r="K341" s="18">
        <v>28.078000000000003</v>
      </c>
      <c r="L341" s="18">
        <v>723.91200000000003</v>
      </c>
      <c r="M341" s="18">
        <v>28.912000000000003</v>
      </c>
      <c r="N341" s="18">
        <v>68.11</v>
      </c>
    </row>
    <row r="342" spans="1:14" x14ac:dyDescent="0.3">
      <c r="A342" s="17">
        <v>2016</v>
      </c>
      <c r="B342" s="18">
        <v>1603.2260000000001</v>
      </c>
      <c r="C342" s="18">
        <v>13.900000000000002</v>
      </c>
      <c r="D342" s="18">
        <v>62.272000000000006</v>
      </c>
      <c r="E342" s="18">
        <v>0.55600000000000005</v>
      </c>
      <c r="F342" s="18">
        <v>225.18</v>
      </c>
      <c r="G342" s="18">
        <v>44.758000000000003</v>
      </c>
      <c r="H342" s="18">
        <v>96.744000000000014</v>
      </c>
      <c r="I342" s="18">
        <v>12.510000000000002</v>
      </c>
      <c r="J342" s="18">
        <v>277.72200000000004</v>
      </c>
      <c r="K342" s="18">
        <v>26.132000000000001</v>
      </c>
      <c r="L342" s="18">
        <v>738.64600000000007</v>
      </c>
      <c r="M342" s="18">
        <v>30.302000000000003</v>
      </c>
      <c r="N342" s="18">
        <v>74.504000000000005</v>
      </c>
    </row>
    <row r="343" spans="1:14" x14ac:dyDescent="0.3">
      <c r="A343" s="17">
        <v>2017</v>
      </c>
      <c r="B343" s="18">
        <v>1696.3560000000002</v>
      </c>
      <c r="C343" s="18">
        <v>14.456000000000001</v>
      </c>
      <c r="D343" s="18">
        <v>64.496000000000009</v>
      </c>
      <c r="E343" s="18">
        <v>5.0040000000000004</v>
      </c>
      <c r="F343" s="18">
        <v>261.32000000000005</v>
      </c>
      <c r="G343" s="18">
        <v>46.704000000000008</v>
      </c>
      <c r="H343" s="18">
        <v>89.238000000000014</v>
      </c>
      <c r="I343" s="18">
        <v>27.800000000000004</v>
      </c>
      <c r="J343" s="18">
        <v>288.56400000000002</v>
      </c>
      <c r="K343" s="18">
        <v>27.800000000000004</v>
      </c>
      <c r="L343" s="18">
        <v>762.83200000000011</v>
      </c>
      <c r="M343" s="18">
        <v>30.024000000000001</v>
      </c>
      <c r="N343" s="18">
        <v>78.118000000000009</v>
      </c>
    </row>
    <row r="344" spans="1:14" x14ac:dyDescent="0.3">
      <c r="A344" s="17">
        <v>2018</v>
      </c>
      <c r="B344" s="18">
        <v>1772.8060000000003</v>
      </c>
      <c r="C344" s="18">
        <v>13.622000000000002</v>
      </c>
      <c r="D344" s="18">
        <v>65.330000000000013</v>
      </c>
      <c r="E344" s="18">
        <v>5.0040000000000004</v>
      </c>
      <c r="F344" s="18">
        <v>281.33600000000001</v>
      </c>
      <c r="G344" s="18">
        <v>46.704000000000008</v>
      </c>
      <c r="H344" s="18">
        <v>91.740000000000009</v>
      </c>
      <c r="I344" s="18">
        <v>30.024000000000001</v>
      </c>
      <c r="J344" s="18">
        <v>284.39400000000001</v>
      </c>
      <c r="K344" s="18">
        <v>27.800000000000004</v>
      </c>
      <c r="L344" s="18">
        <v>807.31200000000013</v>
      </c>
      <c r="M344" s="18">
        <v>29.19</v>
      </c>
      <c r="N344" s="18">
        <v>90.350000000000009</v>
      </c>
    </row>
    <row r="345" spans="1:14" x14ac:dyDescent="0.3">
      <c r="A345" s="17">
        <v>2019</v>
      </c>
      <c r="B345" s="18">
        <v>1768.3580000000002</v>
      </c>
      <c r="C345" s="18">
        <v>11.120000000000001</v>
      </c>
      <c r="D345" s="18">
        <v>60.604000000000006</v>
      </c>
      <c r="E345" s="18">
        <v>4.7260000000000009</v>
      </c>
      <c r="F345" s="18">
        <v>279.94600000000003</v>
      </c>
      <c r="G345" s="18">
        <v>41.7</v>
      </c>
      <c r="H345" s="18">
        <v>88.126000000000005</v>
      </c>
      <c r="I345" s="18">
        <v>30.024000000000001</v>
      </c>
      <c r="J345" s="18">
        <v>279.11200000000002</v>
      </c>
      <c r="K345" s="18">
        <v>27.522000000000002</v>
      </c>
      <c r="L345" s="18">
        <v>835.11200000000008</v>
      </c>
      <c r="M345" s="18">
        <v>28.078000000000003</v>
      </c>
      <c r="N345" s="18">
        <v>82.288000000000011</v>
      </c>
    </row>
    <row r="346" spans="1:14" x14ac:dyDescent="0.3">
      <c r="A346" s="17">
        <v>2020</v>
      </c>
      <c r="B346" s="18">
        <v>1793.1000000000001</v>
      </c>
      <c r="C346" s="18">
        <v>8.8960000000000008</v>
      </c>
      <c r="D346" s="18">
        <v>59.77</v>
      </c>
      <c r="E346" s="18">
        <v>5.838000000000001</v>
      </c>
      <c r="F346" s="18">
        <v>275.77600000000001</v>
      </c>
      <c r="G346" s="18">
        <v>36.974000000000004</v>
      </c>
      <c r="H346" s="18">
        <v>86.458000000000013</v>
      </c>
      <c r="I346" s="18">
        <v>19.182000000000002</v>
      </c>
      <c r="J346" s="18">
        <v>281.05800000000005</v>
      </c>
      <c r="K346" s="18">
        <v>27.244000000000003</v>
      </c>
      <c r="L346" s="18">
        <v>885.15200000000004</v>
      </c>
      <c r="M346" s="18">
        <v>24.742000000000001</v>
      </c>
      <c r="N346" s="18">
        <v>82.01</v>
      </c>
    </row>
    <row r="347" spans="1:14" x14ac:dyDescent="0.3">
      <c r="A347" s="17">
        <v>2021</v>
      </c>
      <c r="B347" s="18">
        <v>1890.9560000000001</v>
      </c>
      <c r="C347" s="18">
        <v>11.954000000000001</v>
      </c>
      <c r="D347" s="18">
        <v>66.998000000000005</v>
      </c>
      <c r="E347" s="18">
        <v>8.34</v>
      </c>
      <c r="F347" s="18">
        <v>287.17400000000004</v>
      </c>
      <c r="G347" s="18">
        <v>41.7</v>
      </c>
      <c r="H347" s="18">
        <v>94.798000000000002</v>
      </c>
      <c r="I347" s="18">
        <v>20.572000000000003</v>
      </c>
      <c r="J347" s="18">
        <v>305.24400000000003</v>
      </c>
      <c r="K347" s="18">
        <v>28.078000000000003</v>
      </c>
      <c r="L347" s="18">
        <v>912.11800000000005</v>
      </c>
      <c r="M347" s="18">
        <v>25.298000000000002</v>
      </c>
      <c r="N347" s="18">
        <v>88.682000000000002</v>
      </c>
    </row>
    <row r="348" spans="1:14" x14ac:dyDescent="0.3">
      <c r="A348" s="17">
        <v>2022</v>
      </c>
      <c r="B348" s="18">
        <v>1790.8760000000002</v>
      </c>
      <c r="C348" s="18">
        <v>12.232000000000001</v>
      </c>
      <c r="D348" s="18">
        <v>86.458000000000013</v>
      </c>
      <c r="E348" s="18">
        <v>8.6180000000000003</v>
      </c>
      <c r="F348" s="18">
        <v>300.51800000000003</v>
      </c>
      <c r="G348" s="18">
        <v>40.866000000000007</v>
      </c>
      <c r="H348" s="18">
        <v>88.404000000000011</v>
      </c>
      <c r="I348" s="18">
        <v>16.68</v>
      </c>
      <c r="J348" s="18">
        <v>279.94600000000003</v>
      </c>
      <c r="K348" s="18">
        <v>25.854000000000003</v>
      </c>
      <c r="L348" s="18">
        <v>818.71</v>
      </c>
      <c r="M348" s="18">
        <v>22.518000000000001</v>
      </c>
      <c r="N348" s="18">
        <v>90.072000000000003</v>
      </c>
    </row>
    <row r="349" spans="1:14" x14ac:dyDescent="0.3">
      <c r="A349" s="17">
        <v>2023</v>
      </c>
      <c r="B349" s="18">
        <v>1684.9580000000001</v>
      </c>
      <c r="C349" s="18">
        <v>13.900000000000002</v>
      </c>
      <c r="D349" s="18">
        <v>77.84</v>
      </c>
      <c r="E349" s="18">
        <v>9.73</v>
      </c>
      <c r="F349" s="18">
        <v>285.50600000000003</v>
      </c>
      <c r="G349" s="18">
        <v>36.14</v>
      </c>
      <c r="H349" s="18">
        <v>87.01400000000001</v>
      </c>
      <c r="I349" s="18">
        <v>12.788</v>
      </c>
      <c r="J349" s="18">
        <v>276.33200000000005</v>
      </c>
      <c r="K349" s="18">
        <v>23.630000000000003</v>
      </c>
      <c r="L349" s="18">
        <v>758.66200000000003</v>
      </c>
      <c r="M349" s="18">
        <v>20.85</v>
      </c>
      <c r="N349" s="18">
        <v>82.566000000000003</v>
      </c>
    </row>
    <row r="350" spans="1:14" x14ac:dyDescent="0.3">
      <c r="A350" s="17">
        <v>2024</v>
      </c>
      <c r="B350" s="18">
        <v>1725.546</v>
      </c>
      <c r="C350" s="18">
        <v>13.344000000000001</v>
      </c>
      <c r="D350" s="18">
        <v>83.122000000000014</v>
      </c>
      <c r="E350" s="18">
        <v>10.564</v>
      </c>
      <c r="F350" s="18">
        <v>288.286</v>
      </c>
      <c r="G350" s="18">
        <v>31.692000000000004</v>
      </c>
      <c r="H350" s="18">
        <v>82.01</v>
      </c>
      <c r="I350" s="18">
        <v>12.788</v>
      </c>
      <c r="J350" s="18">
        <v>279.66800000000001</v>
      </c>
      <c r="K350" s="18">
        <v>25.020000000000003</v>
      </c>
      <c r="L350" s="18">
        <v>772.56200000000013</v>
      </c>
      <c r="M350" s="18">
        <v>19.738000000000003</v>
      </c>
      <c r="N350" s="18">
        <v>106.75200000000001</v>
      </c>
    </row>
    <row r="351" spans="1:14" x14ac:dyDescent="0.3">
      <c r="A351" s="9" t="s">
        <v>265</v>
      </c>
    </row>
    <row r="353" spans="1:13" ht="18" customHeight="1" x14ac:dyDescent="0.3">
      <c r="A353" s="10" t="s">
        <v>628</v>
      </c>
    </row>
    <row r="354" spans="1:13" ht="19" customHeight="1" x14ac:dyDescent="0.3">
      <c r="A354" s="22" t="s">
        <v>73</v>
      </c>
      <c r="B354" s="11" t="s">
        <v>279</v>
      </c>
      <c r="C354" s="11" t="s">
        <v>278</v>
      </c>
      <c r="D354" s="11" t="s">
        <v>277</v>
      </c>
      <c r="E354" s="11" t="s">
        <v>276</v>
      </c>
      <c r="F354" s="11" t="s">
        <v>275</v>
      </c>
      <c r="G354" s="11" t="s">
        <v>274</v>
      </c>
      <c r="H354" s="11" t="s">
        <v>273</v>
      </c>
      <c r="I354" s="11" t="s">
        <v>272</v>
      </c>
      <c r="J354" s="11" t="s">
        <v>271</v>
      </c>
      <c r="K354" s="11" t="s">
        <v>270</v>
      </c>
      <c r="L354" s="11" t="s">
        <v>269</v>
      </c>
      <c r="M354" s="11" t="s">
        <v>268</v>
      </c>
    </row>
    <row r="355" spans="1:13" x14ac:dyDescent="0.3">
      <c r="A355" s="15" t="s">
        <v>241</v>
      </c>
      <c r="B355" s="16">
        <v>634600</v>
      </c>
      <c r="C355" s="16">
        <v>657799</v>
      </c>
      <c r="D355" s="16">
        <v>679048</v>
      </c>
      <c r="E355" s="16">
        <v>664177</v>
      </c>
      <c r="F355" s="16">
        <v>689536</v>
      </c>
      <c r="G355" s="16">
        <v>707841</v>
      </c>
      <c r="H355" s="16">
        <v>727164</v>
      </c>
      <c r="I355" s="16">
        <v>739124</v>
      </c>
      <c r="J355" s="16">
        <v>758688</v>
      </c>
      <c r="K355" s="16">
        <v>769723</v>
      </c>
      <c r="L355" s="16">
        <v>781690</v>
      </c>
      <c r="M355" s="16">
        <v>788075</v>
      </c>
    </row>
    <row r="356" spans="1:13" x14ac:dyDescent="0.3">
      <c r="A356" s="23" t="s">
        <v>282</v>
      </c>
      <c r="B356" s="13">
        <v>15</v>
      </c>
      <c r="C356" s="13">
        <v>188</v>
      </c>
      <c r="D356" s="13">
        <v>211</v>
      </c>
      <c r="E356" s="13">
        <v>241</v>
      </c>
      <c r="F356" s="13">
        <v>312</v>
      </c>
      <c r="G356" s="13">
        <v>442</v>
      </c>
      <c r="H356" s="13">
        <v>658</v>
      </c>
      <c r="I356" s="13">
        <v>1205</v>
      </c>
      <c r="J356" s="13">
        <v>2106</v>
      </c>
      <c r="K356" s="13">
        <v>3832</v>
      </c>
      <c r="L356" s="13">
        <v>6369</v>
      </c>
      <c r="M356" s="13">
        <v>9234</v>
      </c>
    </row>
    <row r="357" spans="1:13" x14ac:dyDescent="0.3">
      <c r="A357" s="23" t="s">
        <v>281</v>
      </c>
      <c r="B357" s="13">
        <v>3</v>
      </c>
      <c r="C357" s="13">
        <v>4</v>
      </c>
      <c r="D357" s="13">
        <v>12</v>
      </c>
      <c r="E357" s="13">
        <v>27</v>
      </c>
      <c r="F357" s="13">
        <v>57</v>
      </c>
      <c r="G357" s="13">
        <v>89</v>
      </c>
      <c r="H357" s="13">
        <v>134</v>
      </c>
      <c r="I357" s="13">
        <v>244</v>
      </c>
      <c r="J357" s="13">
        <v>490</v>
      </c>
      <c r="K357" s="13">
        <v>18473</v>
      </c>
      <c r="L357" s="13">
        <v>25825</v>
      </c>
      <c r="M357" s="13">
        <v>35258</v>
      </c>
    </row>
    <row r="358" spans="1:13" x14ac:dyDescent="0.3">
      <c r="A358" s="9" t="s">
        <v>265</v>
      </c>
    </row>
    <row r="360" spans="1:13" ht="18" customHeight="1" x14ac:dyDescent="0.3">
      <c r="A360" s="33" t="s">
        <v>627</v>
      </c>
    </row>
    <row r="361" spans="1:13" ht="19" customHeight="1" x14ac:dyDescent="0.3">
      <c r="A361" s="22" t="s">
        <v>73</v>
      </c>
      <c r="B361" s="11" t="s">
        <v>279</v>
      </c>
      <c r="C361" s="11" t="s">
        <v>278</v>
      </c>
      <c r="D361" s="11" t="s">
        <v>277</v>
      </c>
      <c r="E361" s="11" t="s">
        <v>276</v>
      </c>
      <c r="F361" s="11" t="s">
        <v>275</v>
      </c>
      <c r="G361" s="11" t="s">
        <v>274</v>
      </c>
      <c r="H361" s="11" t="s">
        <v>273</v>
      </c>
      <c r="I361" s="11" t="s">
        <v>272</v>
      </c>
      <c r="J361" s="11" t="s">
        <v>271</v>
      </c>
      <c r="K361" s="11" t="s">
        <v>270</v>
      </c>
      <c r="L361" s="11" t="s">
        <v>269</v>
      </c>
      <c r="M361" s="11" t="s">
        <v>268</v>
      </c>
    </row>
    <row r="362" spans="1:13" x14ac:dyDescent="0.3">
      <c r="A362" s="29" t="s">
        <v>267</v>
      </c>
      <c r="B362" s="20">
        <v>2.363693665300977E-5</v>
      </c>
      <c r="C362" s="20">
        <v>2.8580158984735458E-4</v>
      </c>
      <c r="D362" s="20">
        <v>3.1072913844087604E-4</v>
      </c>
      <c r="E362" s="20">
        <v>3.6285508230486755E-4</v>
      </c>
      <c r="F362" s="20">
        <v>4.5247818823092632E-4</v>
      </c>
      <c r="G362" s="20">
        <v>6.2443401837418292E-4</v>
      </c>
      <c r="H362" s="20">
        <v>9.0488528034941222E-4</v>
      </c>
      <c r="I362" s="20">
        <v>1.6303083109194126E-3</v>
      </c>
      <c r="J362" s="20">
        <v>2.7758446159686194E-3</v>
      </c>
      <c r="K362" s="20">
        <v>4.9784143126813153E-3</v>
      </c>
      <c r="L362" s="20">
        <v>8.1477311977894047E-3</v>
      </c>
      <c r="M362" s="20">
        <v>1.1717158899850902E-2</v>
      </c>
    </row>
    <row r="363" spans="1:13" ht="26" x14ac:dyDescent="0.3">
      <c r="A363" s="30" t="s">
        <v>266</v>
      </c>
      <c r="B363" s="20">
        <v>4.7273873306019544E-6</v>
      </c>
      <c r="C363" s="20">
        <v>6.0808848903692468E-6</v>
      </c>
      <c r="D363" s="20">
        <v>1.7671799342609065E-5</v>
      </c>
      <c r="E363" s="20">
        <v>4.0651814200130386E-5</v>
      </c>
      <c r="F363" s="20">
        <v>8.2664284388342309E-5</v>
      </c>
      <c r="G363" s="20">
        <v>1.2573445166357981E-4</v>
      </c>
      <c r="H363" s="20">
        <v>1.8427754949364931E-4</v>
      </c>
      <c r="I363" s="20">
        <v>3.301205210492421E-4</v>
      </c>
      <c r="J363" s="20">
        <v>6.458517862415117E-4</v>
      </c>
      <c r="K363" s="20">
        <v>2.3999542692630986E-2</v>
      </c>
      <c r="L363" s="20">
        <v>3.3037393340070872E-2</v>
      </c>
      <c r="M363" s="20">
        <v>4.4739396631031311E-2</v>
      </c>
    </row>
    <row r="364" spans="1:13" x14ac:dyDescent="0.3">
      <c r="A364" s="9" t="s">
        <v>265</v>
      </c>
    </row>
    <row r="366" spans="1:13" ht="18" customHeight="1" x14ac:dyDescent="0.3">
      <c r="A366" s="10" t="s">
        <v>626</v>
      </c>
    </row>
    <row r="367" spans="1:13" ht="19" customHeight="1" x14ac:dyDescent="0.3">
      <c r="A367" s="22" t="s">
        <v>73</v>
      </c>
      <c r="B367" s="11" t="s">
        <v>279</v>
      </c>
      <c r="C367" s="11" t="s">
        <v>278</v>
      </c>
      <c r="D367" s="11" t="s">
        <v>277</v>
      </c>
      <c r="E367" s="11" t="s">
        <v>276</v>
      </c>
      <c r="F367" s="11" t="s">
        <v>275</v>
      </c>
      <c r="G367" s="11" t="s">
        <v>274</v>
      </c>
      <c r="H367" s="11" t="s">
        <v>273</v>
      </c>
      <c r="I367" s="11" t="s">
        <v>272</v>
      </c>
      <c r="J367" s="11" t="s">
        <v>271</v>
      </c>
      <c r="K367" s="11" t="s">
        <v>270</v>
      </c>
      <c r="L367" s="11" t="s">
        <v>269</v>
      </c>
      <c r="M367" s="11" t="s">
        <v>268</v>
      </c>
    </row>
    <row r="368" spans="1:13" x14ac:dyDescent="0.3">
      <c r="A368" s="15" t="s">
        <v>241</v>
      </c>
      <c r="B368" s="16">
        <v>11070</v>
      </c>
      <c r="C368" s="16">
        <v>13173</v>
      </c>
      <c r="D368" s="16">
        <v>14291</v>
      </c>
      <c r="E368" s="16">
        <v>16768</v>
      </c>
      <c r="F368" s="16">
        <v>17064</v>
      </c>
      <c r="G368" s="16">
        <v>17185</v>
      </c>
      <c r="H368" s="16">
        <v>18537</v>
      </c>
      <c r="I368" s="16">
        <v>13725</v>
      </c>
      <c r="J368" s="16">
        <v>14621</v>
      </c>
      <c r="K368" s="16">
        <v>16715</v>
      </c>
      <c r="L368" s="16">
        <v>18451</v>
      </c>
      <c r="M368" s="16">
        <v>17135</v>
      </c>
    </row>
    <row r="369" spans="1:13" x14ac:dyDescent="0.3">
      <c r="A369" s="23" t="s">
        <v>282</v>
      </c>
      <c r="B369" s="13">
        <v>0</v>
      </c>
      <c r="C369" s="13">
        <v>174</v>
      </c>
      <c r="D369" s="13">
        <v>17</v>
      </c>
      <c r="E369" s="13">
        <v>19</v>
      </c>
      <c r="F369" s="13">
        <v>41</v>
      </c>
      <c r="G369" s="13">
        <v>78</v>
      </c>
      <c r="H369" s="13">
        <v>116</v>
      </c>
      <c r="I369" s="13">
        <v>351</v>
      </c>
      <c r="J369" s="13">
        <v>480</v>
      </c>
      <c r="K369" s="13">
        <v>1069</v>
      </c>
      <c r="L369" s="13">
        <v>1629</v>
      </c>
      <c r="M369" s="13">
        <v>1260</v>
      </c>
    </row>
    <row r="370" spans="1:13" x14ac:dyDescent="0.3">
      <c r="A370" s="23" t="s">
        <v>281</v>
      </c>
      <c r="B370" s="13">
        <v>0</v>
      </c>
      <c r="C370" s="13">
        <v>1</v>
      </c>
      <c r="D370" s="13">
        <v>9</v>
      </c>
      <c r="E370" s="13">
        <v>18</v>
      </c>
      <c r="F370" s="13">
        <v>18</v>
      </c>
      <c r="G370" s="13">
        <v>18</v>
      </c>
      <c r="H370" s="13">
        <v>14</v>
      </c>
      <c r="I370" s="13">
        <v>78</v>
      </c>
      <c r="J370" s="13">
        <v>147</v>
      </c>
      <c r="K370" s="13">
        <v>5672</v>
      </c>
      <c r="L370" s="13">
        <v>6890</v>
      </c>
      <c r="M370" s="13">
        <v>8360</v>
      </c>
    </row>
    <row r="371" spans="1:13" x14ac:dyDescent="0.3">
      <c r="A371" s="9" t="s">
        <v>265</v>
      </c>
    </row>
    <row r="373" spans="1:13" ht="18" customHeight="1" x14ac:dyDescent="0.3">
      <c r="A373" s="33" t="s">
        <v>625</v>
      </c>
    </row>
    <row r="374" spans="1:13" ht="19" customHeight="1" x14ac:dyDescent="0.3">
      <c r="A374" s="22" t="s">
        <v>73</v>
      </c>
      <c r="B374" s="11" t="s">
        <v>279</v>
      </c>
      <c r="C374" s="11" t="s">
        <v>278</v>
      </c>
      <c r="D374" s="11" t="s">
        <v>277</v>
      </c>
      <c r="E374" s="11" t="s">
        <v>276</v>
      </c>
      <c r="F374" s="11" t="s">
        <v>275</v>
      </c>
      <c r="G374" s="11" t="s">
        <v>274</v>
      </c>
      <c r="H374" s="11" t="s">
        <v>273</v>
      </c>
      <c r="I374" s="11" t="s">
        <v>272</v>
      </c>
      <c r="J374" s="11" t="s">
        <v>271</v>
      </c>
      <c r="K374" s="11" t="s">
        <v>270</v>
      </c>
      <c r="L374" s="11" t="s">
        <v>269</v>
      </c>
      <c r="M374" s="11" t="s">
        <v>268</v>
      </c>
    </row>
    <row r="375" spans="1:13" x14ac:dyDescent="0.3">
      <c r="A375" s="29" t="s">
        <v>267</v>
      </c>
      <c r="B375" s="20">
        <v>0</v>
      </c>
      <c r="C375" s="20">
        <v>1.2999999999999999E-2</v>
      </c>
      <c r="D375" s="20">
        <v>1E-3</v>
      </c>
      <c r="E375" s="20">
        <v>1E-3</v>
      </c>
      <c r="F375" s="20">
        <v>2E-3</v>
      </c>
      <c r="G375" s="20">
        <v>5.0000000000000001E-3</v>
      </c>
      <c r="H375" s="20">
        <v>6.0000000000000001E-3</v>
      </c>
      <c r="I375" s="20">
        <v>2.5999999999999999E-2</v>
      </c>
      <c r="J375" s="20">
        <v>3.3000000000000002E-2</v>
      </c>
      <c r="K375" s="20">
        <v>6.4000000000000001E-2</v>
      </c>
      <c r="L375" s="20">
        <v>8.7999999999999995E-2</v>
      </c>
      <c r="M375" s="20">
        <v>7.3999999999999996E-2</v>
      </c>
    </row>
    <row r="376" spans="1:13" ht="26" x14ac:dyDescent="0.3">
      <c r="A376" s="30" t="s">
        <v>266</v>
      </c>
      <c r="B376" s="20">
        <v>0</v>
      </c>
      <c r="C376" s="20">
        <v>0</v>
      </c>
      <c r="D376" s="20">
        <v>1E-3</v>
      </c>
      <c r="E376" s="20">
        <v>1E-3</v>
      </c>
      <c r="F376" s="20">
        <v>1E-3</v>
      </c>
      <c r="G376" s="20">
        <v>1E-3</v>
      </c>
      <c r="H376" s="20">
        <v>1E-3</v>
      </c>
      <c r="I376" s="20">
        <v>6.0000000000000001E-3</v>
      </c>
      <c r="J376" s="20">
        <v>0.01</v>
      </c>
      <c r="K376" s="20">
        <v>0.33900000000000002</v>
      </c>
      <c r="L376" s="20">
        <v>0.373</v>
      </c>
      <c r="M376" s="20">
        <v>0.48799999999999999</v>
      </c>
    </row>
    <row r="377" spans="1:13" x14ac:dyDescent="0.3">
      <c r="A377" s="9" t="s">
        <v>265</v>
      </c>
    </row>
  </sheetData>
  <sheetProtection algorithmName="SHA-512" hashValue="EQTK3P6gTo/TbDjR83UdpnQ38lMZJaS1Hz/l2D4HKC2w37TuHnvRKd7PwCtQPVOQVsGLQyWR8UZKPqOfHvR1Fg==" saltValue="JUIWQ8Oc5jHOJEe5vWjtdA==" spinCount="100000" sheet="1" objects="1" scenarios="1"/>
  <mergeCells count="4">
    <mergeCell ref="A101:A102"/>
    <mergeCell ref="A218:D218"/>
    <mergeCell ref="A291:D291"/>
    <mergeCell ref="A6:T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89C06-6401-4106-AB4C-B7B98B0ECC95}">
  <sheetPr>
    <tabColor rgb="FF9FBFAE"/>
  </sheetPr>
  <dimension ref="A1:EO383"/>
  <sheetViews>
    <sheetView showGridLines="0" zoomScale="80" zoomScaleNormal="80" workbookViewId="0">
      <selection activeCell="W16" sqref="W16"/>
    </sheetView>
  </sheetViews>
  <sheetFormatPr defaultColWidth="9.1796875" defaultRowHeight="13" x14ac:dyDescent="0.3"/>
  <cols>
    <col min="1" max="1" width="10.1796875" style="7" customWidth="1"/>
    <col min="2" max="13" width="10.36328125" style="7" customWidth="1"/>
    <col min="14" max="16" width="9.1796875" style="7"/>
    <col min="17" max="26" width="10.81640625" style="7" customWidth="1"/>
    <col min="27" max="32" width="9.1796875" style="7"/>
    <col min="33" max="33" width="12.1796875" style="7" customWidth="1"/>
    <col min="34" max="34" width="9.7265625" style="7" customWidth="1"/>
    <col min="35" max="35" width="12.1796875" style="7" customWidth="1"/>
    <col min="36" max="45" width="9.1796875" style="7"/>
    <col min="46" max="46" width="9.7265625" style="7" customWidth="1"/>
    <col min="47" max="57" width="9.1796875" style="7"/>
    <col min="58" max="58" width="9.7265625" style="7" customWidth="1"/>
    <col min="59" max="69" width="9.1796875" style="7"/>
    <col min="70" max="70" width="9.7265625" style="7" customWidth="1"/>
    <col min="71" max="81" width="9.1796875" style="7"/>
    <col min="82" max="82" width="9.7265625" style="7" customWidth="1"/>
    <col min="83" max="93" width="9.1796875" style="7"/>
    <col min="94" max="94" width="9.7265625" style="7" customWidth="1"/>
    <col min="95" max="105" width="9.1796875" style="7"/>
    <col min="106" max="106" width="9.7265625" style="7" customWidth="1"/>
    <col min="107" max="117" width="9.1796875" style="7"/>
    <col min="118" max="118" width="9.7265625" style="7" customWidth="1"/>
    <col min="119" max="129" width="9.1796875" style="7"/>
    <col min="130" max="130" width="9.7265625" style="7" customWidth="1"/>
    <col min="131" max="141" width="9.1796875" style="7"/>
    <col min="142" max="142" width="9.7265625" style="7" customWidth="1"/>
    <col min="143" max="16384" width="9.1796875" style="7"/>
  </cols>
  <sheetData>
    <row r="1" spans="1:20" ht="24" customHeight="1" thickBot="1" x14ac:dyDescent="0.35">
      <c r="A1" s="8" t="s">
        <v>624</v>
      </c>
    </row>
    <row r="2" spans="1:20" ht="13.5" thickTop="1" x14ac:dyDescent="0.3">
      <c r="A2" s="9" t="s">
        <v>678</v>
      </c>
    </row>
    <row r="3" spans="1:20" x14ac:dyDescent="0.3">
      <c r="A3" s="9" t="s">
        <v>622</v>
      </c>
    </row>
    <row r="4" spans="1:20" x14ac:dyDescent="0.3">
      <c r="A4" s="9" t="s">
        <v>677</v>
      </c>
    </row>
    <row r="6" spans="1:20" x14ac:dyDescent="0.3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</row>
    <row r="8" spans="1:20" ht="14.5" x14ac:dyDescent="0.3">
      <c r="B8" s="10" t="s">
        <v>609</v>
      </c>
      <c r="G8" s="9" t="s">
        <v>674</v>
      </c>
      <c r="K8" s="10" t="s">
        <v>366</v>
      </c>
      <c r="Q8" s="9" t="s">
        <v>674</v>
      </c>
    </row>
    <row r="24" spans="2:18" ht="14.5" x14ac:dyDescent="0.3">
      <c r="B24" s="10" t="s">
        <v>363</v>
      </c>
      <c r="G24" s="9" t="s">
        <v>673</v>
      </c>
      <c r="L24" s="10" t="s">
        <v>343</v>
      </c>
      <c r="R24" s="9" t="s">
        <v>673</v>
      </c>
    </row>
    <row r="45" spans="2:16" ht="14.5" x14ac:dyDescent="0.3">
      <c r="B45" s="10" t="s">
        <v>619</v>
      </c>
      <c r="H45" s="9" t="s">
        <v>676</v>
      </c>
      <c r="K45" s="10" t="s">
        <v>618</v>
      </c>
      <c r="P45" s="9" t="s">
        <v>676</v>
      </c>
    </row>
    <row r="63" spans="2:17" ht="14.5" x14ac:dyDescent="0.3">
      <c r="B63" s="10" t="s">
        <v>616</v>
      </c>
      <c r="G63" s="9" t="s">
        <v>676</v>
      </c>
      <c r="L63" s="10" t="s">
        <v>614</v>
      </c>
      <c r="Q63" s="9" t="s">
        <v>675</v>
      </c>
    </row>
    <row r="80" spans="2:17" ht="14.5" x14ac:dyDescent="0.3">
      <c r="B80" s="10" t="s">
        <v>612</v>
      </c>
      <c r="F80" s="9" t="s">
        <v>674</v>
      </c>
      <c r="L80" s="10" t="s">
        <v>611</v>
      </c>
      <c r="Q80" s="9" t="s">
        <v>673</v>
      </c>
    </row>
    <row r="90" spans="21:21" x14ac:dyDescent="0.3">
      <c r="U90" s="26" t="s">
        <v>307</v>
      </c>
    </row>
    <row r="99" spans="1:145" ht="18" customHeight="1" x14ac:dyDescent="0.3">
      <c r="A99" s="10" t="s">
        <v>609</v>
      </c>
    </row>
    <row r="100" spans="1:145" ht="32" customHeight="1" x14ac:dyDescent="0.3">
      <c r="A100" s="77" t="s">
        <v>608</v>
      </c>
      <c r="B100" s="11" t="s">
        <v>511</v>
      </c>
      <c r="C100" s="11" t="s">
        <v>510</v>
      </c>
      <c r="D100" s="11" t="s">
        <v>509</v>
      </c>
      <c r="E100" s="11" t="s">
        <v>508</v>
      </c>
      <c r="F100" s="11" t="s">
        <v>507</v>
      </c>
      <c r="G100" s="11" t="s">
        <v>506</v>
      </c>
      <c r="H100" s="11" t="s">
        <v>505</v>
      </c>
      <c r="I100" s="11" t="s">
        <v>504</v>
      </c>
      <c r="J100" s="11" t="s">
        <v>503</v>
      </c>
      <c r="K100" s="11" t="s">
        <v>502</v>
      </c>
      <c r="L100" s="11" t="s">
        <v>501</v>
      </c>
      <c r="M100" s="11" t="s">
        <v>500</v>
      </c>
      <c r="N100" s="11" t="s">
        <v>499</v>
      </c>
      <c r="O100" s="11" t="s">
        <v>498</v>
      </c>
      <c r="P100" s="11" t="s">
        <v>497</v>
      </c>
      <c r="Q100" s="11" t="s">
        <v>496</v>
      </c>
      <c r="R100" s="11" t="s">
        <v>495</v>
      </c>
      <c r="S100" s="11" t="s">
        <v>494</v>
      </c>
      <c r="T100" s="11" t="s">
        <v>493</v>
      </c>
      <c r="U100" s="11" t="s">
        <v>492</v>
      </c>
      <c r="V100" s="11" t="s">
        <v>491</v>
      </c>
      <c r="W100" s="11" t="s">
        <v>490</v>
      </c>
      <c r="X100" s="11" t="s">
        <v>489</v>
      </c>
      <c r="Y100" s="11" t="s">
        <v>488</v>
      </c>
      <c r="Z100" s="11" t="s">
        <v>487</v>
      </c>
      <c r="AA100" s="11" t="s">
        <v>486</v>
      </c>
      <c r="AB100" s="11" t="s">
        <v>485</v>
      </c>
      <c r="AC100" s="11" t="s">
        <v>484</v>
      </c>
      <c r="AD100" s="11" t="s">
        <v>483</v>
      </c>
      <c r="AE100" s="11" t="s">
        <v>482</v>
      </c>
      <c r="AF100" s="11" t="s">
        <v>481</v>
      </c>
      <c r="AG100" s="11" t="s">
        <v>480</v>
      </c>
      <c r="AH100" s="11" t="s">
        <v>479</v>
      </c>
      <c r="AI100" s="11" t="s">
        <v>478</v>
      </c>
      <c r="AJ100" s="11" t="s">
        <v>477</v>
      </c>
      <c r="AK100" s="11" t="s">
        <v>476</v>
      </c>
      <c r="AL100" s="11" t="s">
        <v>475</v>
      </c>
      <c r="AM100" s="11" t="s">
        <v>474</v>
      </c>
      <c r="AN100" s="11" t="s">
        <v>473</v>
      </c>
      <c r="AO100" s="11" t="s">
        <v>472</v>
      </c>
      <c r="AP100" s="11" t="s">
        <v>471</v>
      </c>
      <c r="AQ100" s="11" t="s">
        <v>470</v>
      </c>
      <c r="AR100" s="11" t="s">
        <v>469</v>
      </c>
      <c r="AS100" s="11" t="s">
        <v>468</v>
      </c>
      <c r="AT100" s="11" t="s">
        <v>467</v>
      </c>
      <c r="AU100" s="11" t="s">
        <v>466</v>
      </c>
      <c r="AV100" s="11" t="s">
        <v>465</v>
      </c>
      <c r="AW100" s="11" t="s">
        <v>464</v>
      </c>
      <c r="AX100" s="11" t="s">
        <v>463</v>
      </c>
      <c r="AY100" s="11" t="s">
        <v>462</v>
      </c>
      <c r="AZ100" s="11" t="s">
        <v>461</v>
      </c>
      <c r="BA100" s="11" t="s">
        <v>460</v>
      </c>
      <c r="BB100" s="11" t="s">
        <v>459</v>
      </c>
      <c r="BC100" s="11" t="s">
        <v>458</v>
      </c>
      <c r="BD100" s="11" t="s">
        <v>457</v>
      </c>
      <c r="BE100" s="11" t="s">
        <v>456</v>
      </c>
      <c r="BF100" s="11" t="s">
        <v>455</v>
      </c>
      <c r="BG100" s="11" t="s">
        <v>454</v>
      </c>
      <c r="BH100" s="11" t="s">
        <v>453</v>
      </c>
      <c r="BI100" s="11" t="s">
        <v>452</v>
      </c>
      <c r="BJ100" s="11" t="s">
        <v>451</v>
      </c>
      <c r="BK100" s="11" t="s">
        <v>450</v>
      </c>
      <c r="BL100" s="11" t="s">
        <v>449</v>
      </c>
      <c r="BM100" s="11" t="s">
        <v>448</v>
      </c>
      <c r="BN100" s="11" t="s">
        <v>447</v>
      </c>
      <c r="BO100" s="11" t="s">
        <v>446</v>
      </c>
      <c r="BP100" s="11" t="s">
        <v>445</v>
      </c>
      <c r="BQ100" s="11" t="s">
        <v>444</v>
      </c>
      <c r="BR100" s="11" t="s">
        <v>443</v>
      </c>
      <c r="BS100" s="11" t="s">
        <v>442</v>
      </c>
      <c r="BT100" s="11" t="s">
        <v>441</v>
      </c>
      <c r="BU100" s="11" t="s">
        <v>440</v>
      </c>
      <c r="BV100" s="11" t="s">
        <v>439</v>
      </c>
      <c r="BW100" s="11" t="s">
        <v>438</v>
      </c>
      <c r="BX100" s="11" t="s">
        <v>437</v>
      </c>
      <c r="BY100" s="11" t="s">
        <v>436</v>
      </c>
      <c r="BZ100" s="11" t="s">
        <v>435</v>
      </c>
      <c r="CA100" s="11" t="s">
        <v>434</v>
      </c>
      <c r="CB100" s="11" t="s">
        <v>433</v>
      </c>
      <c r="CC100" s="11" t="s">
        <v>432</v>
      </c>
      <c r="CD100" s="11" t="s">
        <v>431</v>
      </c>
      <c r="CE100" s="11" t="s">
        <v>430</v>
      </c>
      <c r="CF100" s="11" t="s">
        <v>429</v>
      </c>
      <c r="CG100" s="11" t="s">
        <v>428</v>
      </c>
      <c r="CH100" s="11" t="s">
        <v>427</v>
      </c>
      <c r="CI100" s="11" t="s">
        <v>426</v>
      </c>
      <c r="CJ100" s="11" t="s">
        <v>425</v>
      </c>
      <c r="CK100" s="11" t="s">
        <v>424</v>
      </c>
      <c r="CL100" s="11" t="s">
        <v>423</v>
      </c>
      <c r="CM100" s="11" t="s">
        <v>422</v>
      </c>
      <c r="CN100" s="11" t="s">
        <v>421</v>
      </c>
      <c r="CO100" s="11" t="s">
        <v>420</v>
      </c>
      <c r="CP100" s="11" t="s">
        <v>419</v>
      </c>
      <c r="CQ100" s="11" t="s">
        <v>418</v>
      </c>
      <c r="CR100" s="11" t="s">
        <v>417</v>
      </c>
      <c r="CS100" s="11" t="s">
        <v>416</v>
      </c>
      <c r="CT100" s="11" t="s">
        <v>415</v>
      </c>
      <c r="CU100" s="11" t="s">
        <v>414</v>
      </c>
      <c r="CV100" s="11" t="s">
        <v>413</v>
      </c>
      <c r="CW100" s="11" t="s">
        <v>412</v>
      </c>
      <c r="CX100" s="11" t="s">
        <v>411</v>
      </c>
      <c r="CY100" s="11" t="s">
        <v>410</v>
      </c>
      <c r="CZ100" s="11" t="s">
        <v>409</v>
      </c>
      <c r="DA100" s="11" t="s">
        <v>408</v>
      </c>
      <c r="DB100" s="11" t="s">
        <v>407</v>
      </c>
      <c r="DC100" s="11" t="s">
        <v>406</v>
      </c>
      <c r="DD100" s="11" t="s">
        <v>405</v>
      </c>
      <c r="DE100" s="11" t="s">
        <v>404</v>
      </c>
      <c r="DF100" s="11" t="s">
        <v>403</v>
      </c>
      <c r="DG100" s="11" t="s">
        <v>402</v>
      </c>
      <c r="DH100" s="11" t="s">
        <v>401</v>
      </c>
      <c r="DI100" s="11" t="s">
        <v>400</v>
      </c>
      <c r="DJ100" s="11" t="s">
        <v>399</v>
      </c>
      <c r="DK100" s="11" t="s">
        <v>398</v>
      </c>
      <c r="DL100" s="11" t="s">
        <v>397</v>
      </c>
      <c r="DM100" s="11" t="s">
        <v>396</v>
      </c>
      <c r="DN100" s="11" t="s">
        <v>395</v>
      </c>
      <c r="DO100" s="11" t="s">
        <v>394</v>
      </c>
      <c r="DP100" s="11" t="s">
        <v>393</v>
      </c>
      <c r="DQ100" s="11" t="s">
        <v>392</v>
      </c>
      <c r="DR100" s="11" t="s">
        <v>391</v>
      </c>
      <c r="DS100" s="11" t="s">
        <v>390</v>
      </c>
      <c r="DT100" s="11" t="s">
        <v>389</v>
      </c>
      <c r="DU100" s="11" t="s">
        <v>388</v>
      </c>
      <c r="DV100" s="11" t="s">
        <v>387</v>
      </c>
      <c r="DW100" s="11" t="s">
        <v>386</v>
      </c>
      <c r="DX100" s="11" t="s">
        <v>385</v>
      </c>
      <c r="DY100" s="11" t="s">
        <v>384</v>
      </c>
      <c r="DZ100" s="11" t="s">
        <v>383</v>
      </c>
      <c r="EA100" s="11" t="s">
        <v>382</v>
      </c>
      <c r="EB100" s="11" t="s">
        <v>381</v>
      </c>
      <c r="EC100" s="11" t="s">
        <v>380</v>
      </c>
      <c r="ED100" s="11" t="s">
        <v>379</v>
      </c>
      <c r="EE100" s="11" t="s">
        <v>378</v>
      </c>
      <c r="EF100" s="11" t="s">
        <v>377</v>
      </c>
      <c r="EG100" s="11" t="s">
        <v>376</v>
      </c>
      <c r="EH100" s="11" t="s">
        <v>375</v>
      </c>
      <c r="EI100" s="11" t="s">
        <v>374</v>
      </c>
      <c r="EJ100" s="11" t="s">
        <v>373</v>
      </c>
      <c r="EK100" s="11" t="s">
        <v>372</v>
      </c>
      <c r="EL100" s="11" t="s">
        <v>371</v>
      </c>
      <c r="EM100" s="11" t="s">
        <v>370</v>
      </c>
      <c r="EN100" s="11" t="s">
        <v>369</v>
      </c>
      <c r="EO100" s="11" t="s">
        <v>368</v>
      </c>
    </row>
    <row r="101" spans="1:145" ht="18.649999999999999" customHeight="1" x14ac:dyDescent="0.3">
      <c r="A101" s="77"/>
      <c r="B101" s="34">
        <v>480</v>
      </c>
      <c r="C101" s="14">
        <v>389</v>
      </c>
      <c r="D101" s="14">
        <v>465</v>
      </c>
      <c r="E101" s="14">
        <v>389</v>
      </c>
      <c r="F101" s="14">
        <v>233</v>
      </c>
      <c r="G101" s="14">
        <v>244</v>
      </c>
      <c r="H101" s="14">
        <v>323</v>
      </c>
      <c r="I101" s="14">
        <v>423</v>
      </c>
      <c r="J101" s="14">
        <v>461</v>
      </c>
      <c r="K101" s="14">
        <v>416</v>
      </c>
      <c r="L101" s="14">
        <v>298</v>
      </c>
      <c r="M101" s="14">
        <v>442</v>
      </c>
      <c r="N101" s="14">
        <v>438</v>
      </c>
      <c r="O101" s="14">
        <v>350</v>
      </c>
      <c r="P101" s="14">
        <v>351</v>
      </c>
      <c r="Q101" s="14">
        <v>227</v>
      </c>
      <c r="R101" s="14">
        <v>228</v>
      </c>
      <c r="S101" s="14">
        <v>308</v>
      </c>
      <c r="T101" s="14">
        <v>389</v>
      </c>
      <c r="U101" s="14">
        <v>373</v>
      </c>
      <c r="V101" s="14">
        <v>384</v>
      </c>
      <c r="W101" s="14">
        <v>336</v>
      </c>
      <c r="X101" s="14">
        <v>319</v>
      </c>
      <c r="Y101" s="14">
        <v>405</v>
      </c>
      <c r="Z101" s="14">
        <v>415</v>
      </c>
      <c r="AA101" s="14">
        <v>352</v>
      </c>
      <c r="AB101" s="14">
        <v>383</v>
      </c>
      <c r="AC101" s="14">
        <v>365</v>
      </c>
      <c r="AD101" s="14">
        <v>408</v>
      </c>
      <c r="AE101" s="14">
        <v>410</v>
      </c>
      <c r="AF101" s="14">
        <v>418</v>
      </c>
      <c r="AG101" s="14">
        <v>375</v>
      </c>
      <c r="AH101" s="14">
        <v>405</v>
      </c>
      <c r="AI101" s="14">
        <v>388</v>
      </c>
      <c r="AJ101" s="14">
        <v>380</v>
      </c>
      <c r="AK101" s="14">
        <v>484</v>
      </c>
      <c r="AL101" s="14">
        <v>403</v>
      </c>
      <c r="AM101" s="14">
        <v>377</v>
      </c>
      <c r="AN101" s="14">
        <v>304</v>
      </c>
      <c r="AO101" s="14">
        <v>292</v>
      </c>
      <c r="AP101" s="14">
        <v>270</v>
      </c>
      <c r="AQ101" s="14">
        <v>331</v>
      </c>
      <c r="AR101" s="14">
        <v>250</v>
      </c>
      <c r="AS101" s="14">
        <v>270</v>
      </c>
      <c r="AT101" s="14">
        <v>312</v>
      </c>
      <c r="AU101" s="14">
        <v>339</v>
      </c>
      <c r="AV101" s="14">
        <v>470</v>
      </c>
      <c r="AW101" s="14">
        <v>454</v>
      </c>
      <c r="AX101" s="14">
        <v>340</v>
      </c>
      <c r="AY101" s="14">
        <v>340</v>
      </c>
      <c r="AZ101" s="14">
        <v>344</v>
      </c>
      <c r="BA101" s="14">
        <v>324</v>
      </c>
      <c r="BB101" s="14">
        <v>316</v>
      </c>
      <c r="BC101" s="14">
        <v>321</v>
      </c>
      <c r="BD101" s="14">
        <v>264</v>
      </c>
      <c r="BE101" s="14">
        <v>292</v>
      </c>
      <c r="BF101" s="14">
        <v>315</v>
      </c>
      <c r="BG101" s="14">
        <v>396</v>
      </c>
      <c r="BH101" s="14">
        <v>371</v>
      </c>
      <c r="BI101" s="14">
        <v>385</v>
      </c>
      <c r="BJ101" s="14">
        <v>373</v>
      </c>
      <c r="BK101" s="14">
        <v>266</v>
      </c>
      <c r="BL101" s="14">
        <v>319</v>
      </c>
      <c r="BM101" s="14">
        <v>330</v>
      </c>
      <c r="BN101" s="14">
        <v>263</v>
      </c>
      <c r="BO101" s="14">
        <v>207</v>
      </c>
      <c r="BP101" s="14">
        <v>193</v>
      </c>
      <c r="BQ101" s="14">
        <v>227</v>
      </c>
      <c r="BR101" s="14">
        <v>299</v>
      </c>
      <c r="BS101" s="14">
        <v>352</v>
      </c>
      <c r="BT101" s="14">
        <v>224</v>
      </c>
      <c r="BU101" s="14">
        <v>249</v>
      </c>
      <c r="BV101" s="14">
        <v>331</v>
      </c>
      <c r="BW101" s="14">
        <v>342</v>
      </c>
      <c r="BX101" s="14">
        <v>378</v>
      </c>
      <c r="BY101" s="14">
        <v>300</v>
      </c>
      <c r="BZ101" s="14">
        <v>272</v>
      </c>
      <c r="CA101" s="14">
        <v>290</v>
      </c>
      <c r="CB101" s="14">
        <v>302</v>
      </c>
      <c r="CC101" s="14">
        <v>272</v>
      </c>
      <c r="CD101" s="14">
        <v>340</v>
      </c>
      <c r="CE101" s="14">
        <v>336</v>
      </c>
      <c r="CF101" s="14">
        <v>299</v>
      </c>
      <c r="CG101" s="14">
        <v>369</v>
      </c>
      <c r="CH101" s="14">
        <v>406</v>
      </c>
      <c r="CI101" s="14">
        <v>443</v>
      </c>
      <c r="CJ101" s="14">
        <v>383</v>
      </c>
      <c r="CK101" s="14">
        <v>356</v>
      </c>
      <c r="CL101" s="14">
        <v>386</v>
      </c>
      <c r="CM101" s="14">
        <v>433</v>
      </c>
      <c r="CN101" s="14">
        <v>475</v>
      </c>
      <c r="CO101" s="14">
        <v>465</v>
      </c>
      <c r="CP101" s="14">
        <v>493</v>
      </c>
      <c r="CQ101" s="14">
        <v>412</v>
      </c>
      <c r="CR101" s="14">
        <v>446</v>
      </c>
      <c r="CS101" s="14">
        <v>509</v>
      </c>
      <c r="CT101" s="14">
        <v>385</v>
      </c>
      <c r="CU101" s="14">
        <v>372</v>
      </c>
      <c r="CV101" s="14">
        <v>383</v>
      </c>
      <c r="CW101" s="14">
        <v>401</v>
      </c>
      <c r="CX101" s="14">
        <v>352</v>
      </c>
      <c r="CY101" s="14">
        <v>343</v>
      </c>
      <c r="CZ101" s="14">
        <v>314</v>
      </c>
      <c r="DA101" s="14">
        <v>306</v>
      </c>
      <c r="DB101" s="14">
        <v>436</v>
      </c>
      <c r="DC101" s="14">
        <v>408</v>
      </c>
      <c r="DD101" s="14">
        <v>374</v>
      </c>
      <c r="DE101" s="14">
        <v>415</v>
      </c>
      <c r="DF101" s="14">
        <v>448</v>
      </c>
      <c r="DG101" s="14">
        <v>402</v>
      </c>
      <c r="DH101" s="14">
        <v>369</v>
      </c>
      <c r="DI101" s="14">
        <v>333</v>
      </c>
      <c r="DJ101" s="14">
        <v>283</v>
      </c>
      <c r="DK101" s="14">
        <v>238</v>
      </c>
      <c r="DL101" s="14">
        <v>287</v>
      </c>
      <c r="DM101" s="14">
        <v>317</v>
      </c>
      <c r="DN101" s="14">
        <v>240</v>
      </c>
      <c r="DO101" s="14">
        <v>320</v>
      </c>
      <c r="DP101" s="14">
        <v>310</v>
      </c>
      <c r="DQ101" s="14">
        <v>365</v>
      </c>
      <c r="DR101" s="14">
        <v>447</v>
      </c>
      <c r="DS101" s="14">
        <v>369</v>
      </c>
      <c r="DT101" s="14">
        <v>451</v>
      </c>
      <c r="DU101" s="14">
        <v>349</v>
      </c>
      <c r="DV101" s="14">
        <v>281</v>
      </c>
      <c r="DW101" s="14">
        <v>262</v>
      </c>
      <c r="DX101" s="14">
        <v>312</v>
      </c>
      <c r="DY101" s="14">
        <v>352</v>
      </c>
      <c r="DZ101" s="14">
        <v>376</v>
      </c>
      <c r="EA101" s="14">
        <v>604</v>
      </c>
      <c r="EB101" s="14">
        <v>416</v>
      </c>
      <c r="EC101" s="14">
        <v>575</v>
      </c>
      <c r="ED101" s="14">
        <v>740</v>
      </c>
      <c r="EE101" s="14">
        <v>627</v>
      </c>
      <c r="EF101" s="14">
        <v>572</v>
      </c>
      <c r="EG101" s="14">
        <v>546</v>
      </c>
      <c r="EH101" s="14">
        <v>437</v>
      </c>
      <c r="EI101" s="14">
        <v>380</v>
      </c>
      <c r="EJ101" s="14">
        <v>426</v>
      </c>
      <c r="EK101" s="14">
        <v>433</v>
      </c>
      <c r="EL101" s="14">
        <v>474</v>
      </c>
      <c r="EM101" s="14">
        <v>555</v>
      </c>
      <c r="EN101" s="14">
        <v>664</v>
      </c>
      <c r="EO101" s="14">
        <v>799</v>
      </c>
    </row>
    <row r="103" spans="1:145" x14ac:dyDescent="0.3">
      <c r="A103" s="15" t="s">
        <v>367</v>
      </c>
      <c r="B103" s="27">
        <f>SUM(B101:EO101)</f>
        <v>53722</v>
      </c>
    </row>
    <row r="105" spans="1:145" ht="18" customHeight="1" x14ac:dyDescent="0.3">
      <c r="A105" s="10" t="s">
        <v>672</v>
      </c>
    </row>
    <row r="106" spans="1:145" ht="58" customHeight="1" x14ac:dyDescent="0.3">
      <c r="A106" s="11"/>
      <c r="B106" s="11" t="s">
        <v>126</v>
      </c>
      <c r="C106" s="11" t="s">
        <v>128</v>
      </c>
      <c r="D106" s="11" t="s">
        <v>127</v>
      </c>
      <c r="F106" s="11" t="s">
        <v>365</v>
      </c>
      <c r="G106" s="11" t="s">
        <v>364</v>
      </c>
    </row>
    <row r="107" spans="1:145" x14ac:dyDescent="0.3">
      <c r="A107" s="17">
        <v>2000</v>
      </c>
      <c r="B107" s="13">
        <v>2188</v>
      </c>
      <c r="C107" s="18">
        <v>76</v>
      </c>
      <c r="D107" s="18">
        <f t="shared" ref="D107:D131" si="0">SUM(F107:G107)</f>
        <v>3640</v>
      </c>
      <c r="F107" s="18">
        <v>1768</v>
      </c>
      <c r="G107" s="18">
        <v>1872</v>
      </c>
    </row>
    <row r="108" spans="1:145" x14ac:dyDescent="0.3">
      <c r="A108" s="17">
        <v>2001</v>
      </c>
      <c r="B108" s="13">
        <v>2250</v>
      </c>
      <c r="C108" s="18">
        <v>91</v>
      </c>
      <c r="D108" s="18">
        <f t="shared" si="0"/>
        <v>3814</v>
      </c>
      <c r="F108" s="18">
        <v>1818</v>
      </c>
      <c r="G108" s="18">
        <v>1996</v>
      </c>
    </row>
    <row r="109" spans="1:145" x14ac:dyDescent="0.3">
      <c r="A109" s="17">
        <v>2002</v>
      </c>
      <c r="B109" s="13">
        <v>2448</v>
      </c>
      <c r="C109" s="18">
        <v>83</v>
      </c>
      <c r="D109" s="18">
        <f t="shared" si="0"/>
        <v>3908</v>
      </c>
      <c r="F109" s="18">
        <v>1812</v>
      </c>
      <c r="G109" s="18">
        <v>2096</v>
      </c>
    </row>
    <row r="110" spans="1:145" x14ac:dyDescent="0.3">
      <c r="A110" s="17">
        <v>2003</v>
      </c>
      <c r="B110" s="13">
        <v>2528</v>
      </c>
      <c r="C110" s="18">
        <v>91</v>
      </c>
      <c r="D110" s="18">
        <f t="shared" si="0"/>
        <v>4294</v>
      </c>
      <c r="F110" s="18">
        <v>1918</v>
      </c>
      <c r="G110" s="18">
        <v>2376</v>
      </c>
    </row>
    <row r="111" spans="1:145" x14ac:dyDescent="0.3">
      <c r="A111" s="17">
        <v>2004</v>
      </c>
      <c r="B111" s="13">
        <v>2635</v>
      </c>
      <c r="C111" s="18">
        <v>92</v>
      </c>
      <c r="D111" s="18">
        <f t="shared" si="0"/>
        <v>4634</v>
      </c>
      <c r="F111" s="18">
        <v>2091</v>
      </c>
      <c r="G111" s="18">
        <v>2543</v>
      </c>
    </row>
    <row r="112" spans="1:145" x14ac:dyDescent="0.3">
      <c r="A112" s="17">
        <v>2005</v>
      </c>
      <c r="B112" s="13">
        <v>2716</v>
      </c>
      <c r="C112" s="18">
        <v>104</v>
      </c>
      <c r="D112" s="18">
        <f t="shared" si="0"/>
        <v>4848</v>
      </c>
      <c r="F112" s="18">
        <v>2163</v>
      </c>
      <c r="G112" s="18">
        <v>2685</v>
      </c>
    </row>
    <row r="113" spans="1:7" x14ac:dyDescent="0.3">
      <c r="A113" s="17">
        <v>2006</v>
      </c>
      <c r="B113" s="13">
        <v>2811</v>
      </c>
      <c r="C113" s="18">
        <v>91</v>
      </c>
      <c r="D113" s="18">
        <f t="shared" si="0"/>
        <v>5210</v>
      </c>
      <c r="F113" s="18">
        <v>2375</v>
      </c>
      <c r="G113" s="18">
        <v>2835</v>
      </c>
    </row>
    <row r="114" spans="1:7" x14ac:dyDescent="0.3">
      <c r="A114" s="17">
        <v>2007</v>
      </c>
      <c r="B114" s="13">
        <v>2951</v>
      </c>
      <c r="C114" s="18">
        <v>70</v>
      </c>
      <c r="D114" s="18">
        <f t="shared" si="0"/>
        <v>5502</v>
      </c>
      <c r="F114" s="18">
        <v>2490</v>
      </c>
      <c r="G114" s="18">
        <v>3012</v>
      </c>
    </row>
    <row r="115" spans="1:7" x14ac:dyDescent="0.3">
      <c r="A115" s="17">
        <v>2008</v>
      </c>
      <c r="B115" s="13">
        <v>2666</v>
      </c>
      <c r="C115" s="18">
        <v>83</v>
      </c>
      <c r="D115" s="18">
        <f t="shared" si="0"/>
        <v>5970</v>
      </c>
      <c r="F115" s="18">
        <v>2730</v>
      </c>
      <c r="G115" s="18">
        <v>3240</v>
      </c>
    </row>
    <row r="116" spans="1:7" x14ac:dyDescent="0.3">
      <c r="A116" s="17">
        <v>2009</v>
      </c>
      <c r="B116" s="13">
        <v>2327</v>
      </c>
      <c r="C116" s="18">
        <v>77</v>
      </c>
      <c r="D116" s="18">
        <f t="shared" si="0"/>
        <v>5681</v>
      </c>
      <c r="F116" s="18">
        <v>2726</v>
      </c>
      <c r="G116" s="18">
        <v>2955</v>
      </c>
    </row>
    <row r="117" spans="1:7" x14ac:dyDescent="0.3">
      <c r="A117" s="17">
        <v>2010</v>
      </c>
      <c r="B117" s="13">
        <v>2548</v>
      </c>
      <c r="C117" s="18">
        <v>76</v>
      </c>
      <c r="D117" s="18">
        <f t="shared" si="0"/>
        <v>5431</v>
      </c>
      <c r="F117" s="18">
        <v>2591</v>
      </c>
      <c r="G117" s="18">
        <v>2840</v>
      </c>
    </row>
    <row r="118" spans="1:7" x14ac:dyDescent="0.3">
      <c r="A118" s="17">
        <v>2011</v>
      </c>
      <c r="B118" s="13">
        <v>2666</v>
      </c>
      <c r="C118" s="18">
        <v>74</v>
      </c>
      <c r="D118" s="18">
        <f t="shared" si="0"/>
        <v>5573</v>
      </c>
      <c r="F118" s="18">
        <v>2619</v>
      </c>
      <c r="G118" s="18">
        <v>2954</v>
      </c>
    </row>
    <row r="119" spans="1:7" x14ac:dyDescent="0.3">
      <c r="A119" s="17">
        <v>2012</v>
      </c>
      <c r="B119" s="13">
        <v>2809</v>
      </c>
      <c r="C119" s="18">
        <v>76</v>
      </c>
      <c r="D119" s="18">
        <f t="shared" si="0"/>
        <v>5757</v>
      </c>
      <c r="F119" s="18">
        <v>2642</v>
      </c>
      <c r="G119" s="18">
        <v>3115</v>
      </c>
    </row>
    <row r="120" spans="1:7" x14ac:dyDescent="0.3">
      <c r="A120" s="17">
        <v>2013</v>
      </c>
      <c r="B120" s="13">
        <v>2878</v>
      </c>
      <c r="C120" s="18">
        <v>74</v>
      </c>
      <c r="D120" s="18">
        <f t="shared" si="0"/>
        <v>5723</v>
      </c>
      <c r="F120" s="18">
        <v>2592</v>
      </c>
      <c r="G120" s="18">
        <v>3131</v>
      </c>
    </row>
    <row r="121" spans="1:7" x14ac:dyDescent="0.3">
      <c r="A121" s="17">
        <v>2014</v>
      </c>
      <c r="B121" s="13">
        <v>3018</v>
      </c>
      <c r="C121" s="18">
        <v>63</v>
      </c>
      <c r="D121" s="18">
        <f t="shared" si="0"/>
        <v>5875</v>
      </c>
      <c r="F121" s="18">
        <v>2656</v>
      </c>
      <c r="G121" s="18">
        <v>3219</v>
      </c>
    </row>
    <row r="122" spans="1:7" x14ac:dyDescent="0.3">
      <c r="A122" s="17">
        <v>2015</v>
      </c>
      <c r="B122" s="13">
        <v>3170</v>
      </c>
      <c r="C122" s="18">
        <v>67</v>
      </c>
      <c r="D122" s="18">
        <f t="shared" si="0"/>
        <v>5770</v>
      </c>
      <c r="F122" s="18">
        <v>2660</v>
      </c>
      <c r="G122" s="18">
        <v>3110</v>
      </c>
    </row>
    <row r="123" spans="1:7" x14ac:dyDescent="0.3">
      <c r="A123" s="17">
        <v>2016</v>
      </c>
      <c r="B123" s="13">
        <v>3269</v>
      </c>
      <c r="C123" s="18">
        <v>72</v>
      </c>
      <c r="D123" s="18">
        <f t="shared" si="0"/>
        <v>6055</v>
      </c>
      <c r="F123" s="18">
        <v>2775</v>
      </c>
      <c r="G123" s="18">
        <v>3280</v>
      </c>
    </row>
    <row r="124" spans="1:7" x14ac:dyDescent="0.3">
      <c r="A124" s="17">
        <v>2017</v>
      </c>
      <c r="B124" s="13">
        <v>3497</v>
      </c>
      <c r="C124" s="18">
        <v>74</v>
      </c>
      <c r="D124" s="18">
        <f t="shared" si="0"/>
        <v>6145</v>
      </c>
      <c r="F124" s="18">
        <v>2838</v>
      </c>
      <c r="G124" s="18">
        <v>3307</v>
      </c>
    </row>
    <row r="125" spans="1:7" x14ac:dyDescent="0.3">
      <c r="A125" s="17">
        <v>2018</v>
      </c>
      <c r="B125" s="13">
        <v>3529</v>
      </c>
      <c r="C125" s="18">
        <v>80</v>
      </c>
      <c r="D125" s="18">
        <f t="shared" si="0"/>
        <v>6420</v>
      </c>
      <c r="F125" s="18">
        <v>2984</v>
      </c>
      <c r="G125" s="18">
        <v>3436</v>
      </c>
    </row>
    <row r="126" spans="1:7" x14ac:dyDescent="0.3">
      <c r="A126" s="17">
        <v>2019</v>
      </c>
      <c r="B126" s="13">
        <v>3645</v>
      </c>
      <c r="C126" s="18">
        <v>78</v>
      </c>
      <c r="D126" s="18">
        <f t="shared" si="0"/>
        <v>6456</v>
      </c>
      <c r="F126" s="18">
        <v>2913</v>
      </c>
      <c r="G126" s="18">
        <v>3543</v>
      </c>
    </row>
    <row r="127" spans="1:7" x14ac:dyDescent="0.3">
      <c r="A127" s="17">
        <v>2020</v>
      </c>
      <c r="B127" s="13">
        <v>3593</v>
      </c>
      <c r="C127" s="18">
        <v>73</v>
      </c>
      <c r="D127" s="18">
        <f t="shared" si="0"/>
        <v>6345</v>
      </c>
      <c r="F127" s="18">
        <v>3044</v>
      </c>
      <c r="G127" s="18">
        <v>3301</v>
      </c>
    </row>
    <row r="128" spans="1:7" x14ac:dyDescent="0.3">
      <c r="A128" s="17">
        <v>2021</v>
      </c>
      <c r="B128" s="13">
        <v>3778</v>
      </c>
      <c r="C128" s="18">
        <v>79</v>
      </c>
      <c r="D128" s="18">
        <f t="shared" si="0"/>
        <v>6937</v>
      </c>
      <c r="F128" s="18">
        <v>3410</v>
      </c>
      <c r="G128" s="18">
        <v>3527</v>
      </c>
    </row>
    <row r="129" spans="1:15" x14ac:dyDescent="0.3">
      <c r="A129" s="17">
        <v>2022</v>
      </c>
      <c r="B129" s="13">
        <v>3453</v>
      </c>
      <c r="C129" s="18">
        <v>92</v>
      </c>
      <c r="D129" s="18">
        <f t="shared" si="0"/>
        <v>6783</v>
      </c>
      <c r="F129" s="18">
        <v>3289</v>
      </c>
      <c r="G129" s="18">
        <v>3494</v>
      </c>
    </row>
    <row r="130" spans="1:15" x14ac:dyDescent="0.3">
      <c r="A130" s="17">
        <v>2023</v>
      </c>
      <c r="B130" s="13">
        <v>3247</v>
      </c>
      <c r="C130" s="18">
        <v>105</v>
      </c>
      <c r="D130" s="18">
        <f t="shared" si="0"/>
        <v>6542</v>
      </c>
      <c r="F130" s="18">
        <v>3147</v>
      </c>
      <c r="G130" s="18">
        <v>3395</v>
      </c>
    </row>
    <row r="131" spans="1:15" x14ac:dyDescent="0.3">
      <c r="A131" s="17">
        <v>2024</v>
      </c>
      <c r="B131" s="13">
        <v>3409</v>
      </c>
      <c r="C131" s="18">
        <v>119</v>
      </c>
      <c r="D131" s="18">
        <f t="shared" si="0"/>
        <v>6951</v>
      </c>
      <c r="F131" s="18">
        <v>3259</v>
      </c>
      <c r="G131" s="18">
        <v>3692</v>
      </c>
    </row>
    <row r="133" spans="1:15" ht="18" customHeight="1" x14ac:dyDescent="0.3">
      <c r="A133" s="10" t="s">
        <v>671</v>
      </c>
    </row>
    <row r="134" spans="1:15" ht="58" customHeight="1" x14ac:dyDescent="0.3">
      <c r="A134" s="11" t="s">
        <v>362</v>
      </c>
      <c r="B134" s="11" t="s">
        <v>361</v>
      </c>
      <c r="C134" s="11" t="s">
        <v>331</v>
      </c>
      <c r="D134" s="11" t="s">
        <v>644</v>
      </c>
      <c r="E134" s="11" t="s">
        <v>329</v>
      </c>
      <c r="F134" s="11" t="s">
        <v>353</v>
      </c>
      <c r="G134" s="11" t="s">
        <v>326</v>
      </c>
      <c r="H134" s="11" t="s">
        <v>670</v>
      </c>
      <c r="I134" s="11" t="s">
        <v>669</v>
      </c>
      <c r="J134" s="11" t="s">
        <v>347</v>
      </c>
      <c r="K134" s="11" t="s">
        <v>668</v>
      </c>
      <c r="L134" s="11" t="s">
        <v>346</v>
      </c>
      <c r="M134" s="11" t="s">
        <v>643</v>
      </c>
      <c r="N134" s="11" t="s">
        <v>339</v>
      </c>
      <c r="O134" s="11" t="s">
        <v>667</v>
      </c>
    </row>
    <row r="135" spans="1:15" x14ac:dyDescent="0.3">
      <c r="A135" s="17">
        <v>2000</v>
      </c>
      <c r="B135" s="18">
        <f t="shared" ref="B135:B159" si="1">SUM(C135:L135)</f>
        <v>11425</v>
      </c>
      <c r="C135" s="14">
        <v>0</v>
      </c>
      <c r="D135" s="18">
        <v>0</v>
      </c>
      <c r="E135" s="14">
        <v>655</v>
      </c>
      <c r="F135" s="13">
        <v>1616</v>
      </c>
      <c r="G135" s="14">
        <v>0</v>
      </c>
      <c r="H135" s="14">
        <v>91</v>
      </c>
      <c r="I135" s="13">
        <v>644</v>
      </c>
      <c r="J135" s="18">
        <v>0</v>
      </c>
      <c r="K135" s="13">
        <v>8419</v>
      </c>
      <c r="L135" s="18">
        <v>0</v>
      </c>
      <c r="M135" s="13">
        <v>5150</v>
      </c>
      <c r="N135" s="21">
        <v>0.20673960612691467</v>
      </c>
      <c r="O135" s="21">
        <v>0.79326039387308533</v>
      </c>
    </row>
    <row r="136" spans="1:15" x14ac:dyDescent="0.3">
      <c r="A136" s="17">
        <v>2001</v>
      </c>
      <c r="B136" s="18">
        <f t="shared" si="1"/>
        <v>14737</v>
      </c>
      <c r="C136" s="14">
        <v>0</v>
      </c>
      <c r="D136" s="18">
        <v>2</v>
      </c>
      <c r="E136" s="14">
        <v>720</v>
      </c>
      <c r="F136" s="13">
        <v>1884</v>
      </c>
      <c r="G136" s="14">
        <v>0</v>
      </c>
      <c r="H136" s="14">
        <v>68</v>
      </c>
      <c r="I136" s="13">
        <v>701</v>
      </c>
      <c r="J136" s="18">
        <v>0</v>
      </c>
      <c r="K136" s="13">
        <v>11362</v>
      </c>
      <c r="L136" s="18">
        <v>0</v>
      </c>
      <c r="M136" s="13">
        <v>4442</v>
      </c>
      <c r="N136" s="21">
        <v>0.18131234308203842</v>
      </c>
      <c r="O136" s="21">
        <v>0.81868765691796164</v>
      </c>
    </row>
    <row r="137" spans="1:15" x14ac:dyDescent="0.3">
      <c r="A137" s="17">
        <v>2002</v>
      </c>
      <c r="B137" s="18">
        <f t="shared" si="1"/>
        <v>17720.900000000001</v>
      </c>
      <c r="C137" s="14">
        <v>0</v>
      </c>
      <c r="D137" s="18">
        <v>3.9</v>
      </c>
      <c r="E137" s="14">
        <v>547</v>
      </c>
      <c r="F137" s="13">
        <v>2109</v>
      </c>
      <c r="G137" s="14">
        <v>0</v>
      </c>
      <c r="H137" s="14">
        <v>138</v>
      </c>
      <c r="I137" s="13">
        <v>781</v>
      </c>
      <c r="J137" s="18">
        <v>0</v>
      </c>
      <c r="K137" s="13">
        <v>14142</v>
      </c>
      <c r="L137" s="18">
        <v>0</v>
      </c>
      <c r="M137" s="13">
        <v>4532</v>
      </c>
      <c r="N137" s="21">
        <v>0.1576669356522524</v>
      </c>
      <c r="O137" s="21">
        <v>0.84233306434774746</v>
      </c>
    </row>
    <row r="138" spans="1:15" x14ac:dyDescent="0.3">
      <c r="A138" s="17">
        <v>2003</v>
      </c>
      <c r="B138" s="18">
        <f t="shared" si="1"/>
        <v>19487.599999999999</v>
      </c>
      <c r="C138" s="14">
        <v>0</v>
      </c>
      <c r="D138" s="18">
        <v>6.6</v>
      </c>
      <c r="E138" s="14">
        <v>327</v>
      </c>
      <c r="F138" s="13">
        <v>2518</v>
      </c>
      <c r="G138" s="14">
        <v>0</v>
      </c>
      <c r="H138" s="14">
        <v>167</v>
      </c>
      <c r="I138" s="13">
        <v>985</v>
      </c>
      <c r="J138" s="18">
        <v>0</v>
      </c>
      <c r="K138" s="13">
        <v>15484</v>
      </c>
      <c r="L138" s="18">
        <v>0</v>
      </c>
      <c r="M138" s="13">
        <v>4144</v>
      </c>
      <c r="N138" s="21">
        <v>0.15455982265645848</v>
      </c>
      <c r="O138" s="21">
        <v>0.84544017734354149</v>
      </c>
    </row>
    <row r="139" spans="1:15" x14ac:dyDescent="0.3">
      <c r="A139" s="17">
        <v>2004</v>
      </c>
      <c r="B139" s="18">
        <f t="shared" si="1"/>
        <v>19272.5</v>
      </c>
      <c r="C139" s="14">
        <v>0</v>
      </c>
      <c r="D139" s="18">
        <v>4.3</v>
      </c>
      <c r="E139" s="14">
        <v>361</v>
      </c>
      <c r="F139" s="13">
        <v>2691</v>
      </c>
      <c r="G139" s="14">
        <v>0</v>
      </c>
      <c r="H139" s="14">
        <v>170</v>
      </c>
      <c r="I139" s="13">
        <v>943</v>
      </c>
      <c r="J139" s="18">
        <v>1.2</v>
      </c>
      <c r="K139" s="13">
        <v>15102</v>
      </c>
      <c r="L139" s="18">
        <v>0</v>
      </c>
      <c r="M139" s="13">
        <v>4293</v>
      </c>
      <c r="N139" s="21">
        <v>0.1671812167596316</v>
      </c>
      <c r="O139" s="21">
        <v>0.8328187832403684</v>
      </c>
    </row>
    <row r="140" spans="1:15" x14ac:dyDescent="0.3">
      <c r="A140" s="17">
        <v>2005</v>
      </c>
      <c r="B140" s="18">
        <f t="shared" si="1"/>
        <v>14779.400000000001</v>
      </c>
      <c r="C140" s="14">
        <v>0</v>
      </c>
      <c r="D140" s="18">
        <v>2.6</v>
      </c>
      <c r="E140" s="14">
        <v>401</v>
      </c>
      <c r="F140" s="13">
        <v>3017</v>
      </c>
      <c r="G140" s="14">
        <v>0</v>
      </c>
      <c r="H140" s="14">
        <v>200</v>
      </c>
      <c r="I140" s="13">
        <v>820</v>
      </c>
      <c r="J140" s="18">
        <v>1.8</v>
      </c>
      <c r="K140" s="13">
        <v>10337</v>
      </c>
      <c r="L140" s="18">
        <v>0</v>
      </c>
      <c r="M140" s="13">
        <v>5641</v>
      </c>
      <c r="N140" s="21">
        <v>0.24480019486582677</v>
      </c>
      <c r="O140" s="21">
        <v>0.75519980513417329</v>
      </c>
    </row>
    <row r="141" spans="1:15" x14ac:dyDescent="0.3">
      <c r="A141" s="17">
        <v>2006</v>
      </c>
      <c r="B141" s="18">
        <f t="shared" si="1"/>
        <v>12477</v>
      </c>
      <c r="C141" s="14">
        <v>1</v>
      </c>
      <c r="D141" s="18">
        <v>19.3</v>
      </c>
      <c r="E141" s="14">
        <v>329</v>
      </c>
      <c r="F141" s="13">
        <v>2464</v>
      </c>
      <c r="G141" s="14">
        <v>0</v>
      </c>
      <c r="H141" s="14">
        <v>197</v>
      </c>
      <c r="I141" s="13">
        <v>802</v>
      </c>
      <c r="J141" s="18">
        <v>13.7</v>
      </c>
      <c r="K141" s="13">
        <v>8651</v>
      </c>
      <c r="L141" s="18">
        <v>0</v>
      </c>
      <c r="M141" s="13">
        <v>5812</v>
      </c>
      <c r="N141" s="21">
        <v>0.23972108679971146</v>
      </c>
      <c r="O141" s="21">
        <v>0.76027891320028851</v>
      </c>
    </row>
    <row r="142" spans="1:15" x14ac:dyDescent="0.3">
      <c r="A142" s="17">
        <v>2007</v>
      </c>
      <c r="B142" s="18">
        <f t="shared" si="1"/>
        <v>14001.5</v>
      </c>
      <c r="C142" s="14">
        <v>12</v>
      </c>
      <c r="D142" s="18">
        <v>48.4</v>
      </c>
      <c r="E142" s="14">
        <v>408</v>
      </c>
      <c r="F142" s="13">
        <v>2405</v>
      </c>
      <c r="G142" s="14">
        <v>0</v>
      </c>
      <c r="H142" s="14">
        <v>231</v>
      </c>
      <c r="I142" s="13">
        <v>958</v>
      </c>
      <c r="J142" s="18">
        <v>106.1</v>
      </c>
      <c r="K142" s="13">
        <v>9833</v>
      </c>
      <c r="L142" s="18">
        <v>0</v>
      </c>
      <c r="M142" s="13">
        <v>5846</v>
      </c>
      <c r="N142" s="21">
        <v>0.21826232903617471</v>
      </c>
      <c r="O142" s="21">
        <v>0.78173767096382529</v>
      </c>
    </row>
    <row r="143" spans="1:15" x14ac:dyDescent="0.3">
      <c r="A143" s="17">
        <v>2008</v>
      </c>
      <c r="B143" s="18">
        <f t="shared" si="1"/>
        <v>13903.7</v>
      </c>
      <c r="C143" s="14">
        <v>1</v>
      </c>
      <c r="D143" s="18">
        <v>59.6</v>
      </c>
      <c r="E143" s="14">
        <v>566</v>
      </c>
      <c r="F143" s="13">
        <v>2026</v>
      </c>
      <c r="G143" s="14">
        <v>0</v>
      </c>
      <c r="H143" s="14">
        <v>238</v>
      </c>
      <c r="I143" s="13">
        <v>988</v>
      </c>
      <c r="J143" s="18">
        <v>131.1</v>
      </c>
      <c r="K143" s="13">
        <v>9894</v>
      </c>
      <c r="L143" s="18">
        <v>0</v>
      </c>
      <c r="M143" s="13">
        <v>5649</v>
      </c>
      <c r="N143" s="21">
        <v>0.20361486510784899</v>
      </c>
      <c r="O143" s="21">
        <v>0.79638513489215101</v>
      </c>
    </row>
    <row r="144" spans="1:15" x14ac:dyDescent="0.3">
      <c r="A144" s="17">
        <v>2009</v>
      </c>
      <c r="B144" s="18">
        <f t="shared" si="1"/>
        <v>15343</v>
      </c>
      <c r="C144" s="14">
        <v>0</v>
      </c>
      <c r="D144" s="18">
        <v>87.3</v>
      </c>
      <c r="E144" s="14">
        <v>735</v>
      </c>
      <c r="F144" s="13">
        <v>2101</v>
      </c>
      <c r="G144" s="14">
        <v>0</v>
      </c>
      <c r="H144" s="14">
        <v>271</v>
      </c>
      <c r="I144" s="13">
        <v>1139</v>
      </c>
      <c r="J144" s="18">
        <v>157.69999999999999</v>
      </c>
      <c r="K144" s="13">
        <v>10852</v>
      </c>
      <c r="L144" s="18">
        <v>0</v>
      </c>
      <c r="M144" s="13">
        <v>4783</v>
      </c>
      <c r="N144" s="21">
        <v>0.20250276999283059</v>
      </c>
      <c r="O144" s="21">
        <v>0.79749723000716943</v>
      </c>
    </row>
    <row r="145" spans="1:15" x14ac:dyDescent="0.3">
      <c r="A145" s="17">
        <v>2010</v>
      </c>
      <c r="B145" s="18">
        <f t="shared" si="1"/>
        <v>5718</v>
      </c>
      <c r="C145" s="14">
        <v>0</v>
      </c>
      <c r="D145" s="18">
        <v>116</v>
      </c>
      <c r="E145" s="14">
        <v>647</v>
      </c>
      <c r="F145" s="13">
        <v>3186</v>
      </c>
      <c r="G145" s="14">
        <v>0</v>
      </c>
      <c r="H145" s="14">
        <v>250</v>
      </c>
      <c r="I145" s="13">
        <v>1295</v>
      </c>
      <c r="J145" s="18">
        <v>224</v>
      </c>
      <c r="K145" s="13">
        <v>0</v>
      </c>
      <c r="L145" s="18">
        <v>0</v>
      </c>
      <c r="M145" s="13">
        <v>8174</v>
      </c>
      <c r="N145" s="21">
        <v>0.71406086044071349</v>
      </c>
      <c r="O145" s="21">
        <v>0.28593913955928646</v>
      </c>
    </row>
    <row r="146" spans="1:15" x14ac:dyDescent="0.3">
      <c r="A146" s="17">
        <v>2011</v>
      </c>
      <c r="B146" s="18">
        <f t="shared" si="1"/>
        <v>4786.3999999999996</v>
      </c>
      <c r="C146" s="14">
        <v>0</v>
      </c>
      <c r="D146" s="18">
        <v>121.4</v>
      </c>
      <c r="E146" s="14">
        <v>209</v>
      </c>
      <c r="F146" s="13">
        <v>2668</v>
      </c>
      <c r="G146" s="14">
        <v>0</v>
      </c>
      <c r="H146" s="14">
        <v>257</v>
      </c>
      <c r="I146" s="13">
        <v>1056</v>
      </c>
      <c r="J146" s="18">
        <v>475</v>
      </c>
      <c r="K146" s="13">
        <v>0</v>
      </c>
      <c r="L146" s="18">
        <v>0</v>
      </c>
      <c r="M146" s="13">
        <v>8086</v>
      </c>
      <c r="N146" s="21">
        <v>0.65477185358515799</v>
      </c>
      <c r="O146" s="21">
        <v>0.34522814641484212</v>
      </c>
    </row>
    <row r="147" spans="1:15" x14ac:dyDescent="0.3">
      <c r="A147" s="17">
        <v>2012</v>
      </c>
      <c r="B147" s="18">
        <f t="shared" si="1"/>
        <v>5000.6000000000004</v>
      </c>
      <c r="C147" s="14">
        <v>0</v>
      </c>
      <c r="D147" s="18">
        <v>175.5</v>
      </c>
      <c r="E147" s="14">
        <v>240</v>
      </c>
      <c r="F147" s="13">
        <v>2879</v>
      </c>
      <c r="G147" s="14">
        <v>0</v>
      </c>
      <c r="H147" s="14">
        <v>227</v>
      </c>
      <c r="I147" s="13">
        <v>937</v>
      </c>
      <c r="J147" s="18">
        <v>540.1</v>
      </c>
      <c r="K147" s="13">
        <v>0</v>
      </c>
      <c r="L147" s="18">
        <v>2</v>
      </c>
      <c r="M147" s="13">
        <v>8060</v>
      </c>
      <c r="N147" s="21">
        <v>0.66911970563532375</v>
      </c>
      <c r="O147" s="21">
        <v>0.3308802943646762</v>
      </c>
    </row>
    <row r="148" spans="1:15" x14ac:dyDescent="0.3">
      <c r="A148" s="17">
        <v>2013</v>
      </c>
      <c r="B148" s="18">
        <f t="shared" si="1"/>
        <v>4702.3999999999996</v>
      </c>
      <c r="C148" s="14">
        <v>0</v>
      </c>
      <c r="D148" s="18">
        <v>278.7</v>
      </c>
      <c r="E148" s="14">
        <v>206</v>
      </c>
      <c r="F148" s="13">
        <v>2219</v>
      </c>
      <c r="G148" s="14">
        <v>45</v>
      </c>
      <c r="H148" s="14">
        <v>237</v>
      </c>
      <c r="I148" s="13">
        <v>1069</v>
      </c>
      <c r="J148" s="18">
        <v>602.70000000000005</v>
      </c>
      <c r="K148" s="13">
        <v>0</v>
      </c>
      <c r="L148" s="18">
        <v>45</v>
      </c>
      <c r="M148" s="13">
        <v>8073</v>
      </c>
      <c r="N148" s="21">
        <v>0.57020685006529892</v>
      </c>
      <c r="O148" s="21">
        <v>0.42979314993470114</v>
      </c>
    </row>
    <row r="149" spans="1:15" x14ac:dyDescent="0.3">
      <c r="A149" s="17">
        <v>2014</v>
      </c>
      <c r="B149" s="18">
        <f t="shared" si="1"/>
        <v>4318.7</v>
      </c>
      <c r="C149" s="14">
        <v>2</v>
      </c>
      <c r="D149" s="18">
        <v>292.60000000000002</v>
      </c>
      <c r="E149" s="14">
        <v>160</v>
      </c>
      <c r="F149" s="13">
        <v>1749</v>
      </c>
      <c r="G149" s="14">
        <v>72</v>
      </c>
      <c r="H149" s="14">
        <v>243</v>
      </c>
      <c r="I149" s="13">
        <v>1088</v>
      </c>
      <c r="J149" s="18">
        <v>639.1</v>
      </c>
      <c r="K149" s="13">
        <v>0</v>
      </c>
      <c r="L149" s="18">
        <v>73</v>
      </c>
      <c r="M149" s="13">
        <v>8521</v>
      </c>
      <c r="N149" s="21">
        <v>0.50698066367549599</v>
      </c>
      <c r="O149" s="21">
        <v>0.49301933632450406</v>
      </c>
    </row>
    <row r="150" spans="1:15" x14ac:dyDescent="0.3">
      <c r="A150" s="17">
        <v>2015</v>
      </c>
      <c r="B150" s="18">
        <f t="shared" si="1"/>
        <v>4847.5</v>
      </c>
      <c r="C150" s="14">
        <v>0</v>
      </c>
      <c r="D150" s="18">
        <v>318.2</v>
      </c>
      <c r="E150" s="14">
        <v>275</v>
      </c>
      <c r="F150" s="13">
        <v>1979</v>
      </c>
      <c r="G150" s="14">
        <v>103</v>
      </c>
      <c r="H150" s="14">
        <v>265</v>
      </c>
      <c r="I150" s="13">
        <v>1024</v>
      </c>
      <c r="J150" s="18">
        <v>810.3</v>
      </c>
      <c r="K150" s="13">
        <v>0</v>
      </c>
      <c r="L150" s="18">
        <v>73</v>
      </c>
      <c r="M150" s="13">
        <v>7938</v>
      </c>
      <c r="N150" s="21">
        <v>0.52964347035652959</v>
      </c>
      <c r="O150" s="21">
        <v>0.47035652964347036</v>
      </c>
    </row>
    <row r="151" spans="1:15" x14ac:dyDescent="0.3">
      <c r="A151" s="17">
        <v>2016</v>
      </c>
      <c r="B151" s="18">
        <f t="shared" si="1"/>
        <v>4136.1000000000004</v>
      </c>
      <c r="C151" s="14">
        <v>0</v>
      </c>
      <c r="D151" s="18">
        <v>262.2</v>
      </c>
      <c r="E151" s="14">
        <v>221</v>
      </c>
      <c r="F151" s="13">
        <v>986</v>
      </c>
      <c r="G151" s="14">
        <v>151</v>
      </c>
      <c r="H151" s="14">
        <v>270</v>
      </c>
      <c r="I151" s="13">
        <v>1044</v>
      </c>
      <c r="J151" s="18">
        <v>1135.9000000000001</v>
      </c>
      <c r="K151" s="13">
        <v>0</v>
      </c>
      <c r="L151" s="18">
        <v>66</v>
      </c>
      <c r="M151" s="13">
        <v>11106</v>
      </c>
      <c r="N151" s="21">
        <v>0.37974388281122434</v>
      </c>
      <c r="O151" s="21">
        <v>0.62025611718877571</v>
      </c>
    </row>
    <row r="152" spans="1:15" x14ac:dyDescent="0.3">
      <c r="A152" s="17">
        <v>2017</v>
      </c>
      <c r="B152" s="18">
        <f t="shared" si="1"/>
        <v>4046.3</v>
      </c>
      <c r="C152" s="14">
        <v>0</v>
      </c>
      <c r="D152" s="18">
        <v>292.3</v>
      </c>
      <c r="E152" s="14">
        <v>139</v>
      </c>
      <c r="F152" s="13">
        <v>597</v>
      </c>
      <c r="G152" s="14">
        <v>156</v>
      </c>
      <c r="H152" s="14">
        <v>250</v>
      </c>
      <c r="I152" s="13">
        <v>1181</v>
      </c>
      <c r="J152" s="18">
        <v>1363</v>
      </c>
      <c r="K152" s="13">
        <v>0</v>
      </c>
      <c r="L152" s="18">
        <v>68</v>
      </c>
      <c r="M152" s="13">
        <v>11926</v>
      </c>
      <c r="N152" s="21">
        <v>0.27175594317397617</v>
      </c>
      <c r="O152" s="21">
        <v>0.72824405682602389</v>
      </c>
    </row>
    <row r="153" spans="1:15" x14ac:dyDescent="0.3">
      <c r="A153" s="17">
        <v>2018</v>
      </c>
      <c r="B153" s="18">
        <f t="shared" si="1"/>
        <v>3335.4</v>
      </c>
      <c r="C153" s="14">
        <v>0</v>
      </c>
      <c r="D153" s="18">
        <v>322.39999999999998</v>
      </c>
      <c r="E153" s="14">
        <v>131</v>
      </c>
      <c r="F153" s="13">
        <v>330</v>
      </c>
      <c r="G153" s="14">
        <v>132</v>
      </c>
      <c r="H153" s="14">
        <v>231</v>
      </c>
      <c r="I153" s="13">
        <v>959</v>
      </c>
      <c r="J153" s="18">
        <v>1144</v>
      </c>
      <c r="K153" s="13">
        <v>0</v>
      </c>
      <c r="L153" s="18">
        <v>86</v>
      </c>
      <c r="M153" s="13">
        <v>12847</v>
      </c>
      <c r="N153" s="21">
        <v>0.23764203726134855</v>
      </c>
      <c r="O153" s="21">
        <v>0.76235796273865142</v>
      </c>
    </row>
    <row r="154" spans="1:15" x14ac:dyDescent="0.3">
      <c r="A154" s="17">
        <v>2019</v>
      </c>
      <c r="B154" s="18">
        <f t="shared" si="1"/>
        <v>3778.9</v>
      </c>
      <c r="C154" s="14">
        <v>0</v>
      </c>
      <c r="D154" s="18">
        <v>295.5</v>
      </c>
      <c r="E154" s="14">
        <v>67</v>
      </c>
      <c r="F154" s="13">
        <v>523</v>
      </c>
      <c r="G154" s="14">
        <v>133</v>
      </c>
      <c r="H154" s="14">
        <v>223</v>
      </c>
      <c r="I154" s="13">
        <v>947</v>
      </c>
      <c r="J154" s="18">
        <v>1499.4</v>
      </c>
      <c r="K154" s="13">
        <v>0</v>
      </c>
      <c r="L154" s="18">
        <v>91</v>
      </c>
      <c r="M154" s="13">
        <v>13267</v>
      </c>
      <c r="N154" s="21">
        <v>0.24182622255170122</v>
      </c>
      <c r="O154" s="21">
        <v>0.75817377744829884</v>
      </c>
    </row>
    <row r="155" spans="1:15" x14ac:dyDescent="0.3">
      <c r="A155" s="17">
        <v>2020</v>
      </c>
      <c r="B155" s="18">
        <f t="shared" si="1"/>
        <v>5308.9</v>
      </c>
      <c r="C155" s="14">
        <v>0</v>
      </c>
      <c r="D155" s="18">
        <v>316.89999999999998</v>
      </c>
      <c r="E155" s="14">
        <v>123</v>
      </c>
      <c r="F155" s="13">
        <v>1698</v>
      </c>
      <c r="G155" s="14">
        <v>206</v>
      </c>
      <c r="H155" s="14">
        <v>206</v>
      </c>
      <c r="I155" s="13">
        <v>1080</v>
      </c>
      <c r="J155" s="18">
        <v>1551</v>
      </c>
      <c r="K155" s="13">
        <v>0</v>
      </c>
      <c r="L155" s="18">
        <v>128</v>
      </c>
      <c r="M155" s="13">
        <v>12013</v>
      </c>
      <c r="N155" s="21">
        <v>0.40490308074489112</v>
      </c>
      <c r="O155" s="21">
        <v>0.59509691925510899</v>
      </c>
    </row>
    <row r="156" spans="1:15" x14ac:dyDescent="0.3">
      <c r="A156" s="17">
        <v>2021</v>
      </c>
      <c r="B156" s="18">
        <f t="shared" si="1"/>
        <v>4853.5</v>
      </c>
      <c r="C156" s="14">
        <v>0</v>
      </c>
      <c r="D156" s="18">
        <v>322.5</v>
      </c>
      <c r="E156" s="14">
        <v>95</v>
      </c>
      <c r="F156" s="13">
        <v>1221</v>
      </c>
      <c r="G156" s="14">
        <v>379</v>
      </c>
      <c r="H156" s="14">
        <v>192</v>
      </c>
      <c r="I156" s="13">
        <v>1093</v>
      </c>
      <c r="J156" s="18">
        <v>1361</v>
      </c>
      <c r="K156" s="13">
        <v>0</v>
      </c>
      <c r="L156" s="18">
        <v>190</v>
      </c>
      <c r="M156" s="13">
        <v>12478</v>
      </c>
      <c r="N156" s="21">
        <v>0.36063067367415191</v>
      </c>
      <c r="O156" s="21">
        <v>0.63936932632584809</v>
      </c>
    </row>
    <row r="157" spans="1:15" x14ac:dyDescent="0.3">
      <c r="A157" s="17">
        <v>2022</v>
      </c>
      <c r="B157" s="18">
        <f t="shared" si="1"/>
        <v>4543.7000000000007</v>
      </c>
      <c r="C157" s="14">
        <v>0</v>
      </c>
      <c r="D157" s="18">
        <v>315.3</v>
      </c>
      <c r="E157" s="14">
        <v>376</v>
      </c>
      <c r="F157" s="13">
        <v>514</v>
      </c>
      <c r="G157" s="14">
        <v>401</v>
      </c>
      <c r="H157" s="14">
        <v>63</v>
      </c>
      <c r="I157" s="13">
        <v>1020</v>
      </c>
      <c r="J157" s="18">
        <v>1512.4</v>
      </c>
      <c r="K157" s="13">
        <v>0</v>
      </c>
      <c r="L157" s="18">
        <v>342</v>
      </c>
      <c r="M157" s="13">
        <v>12933</v>
      </c>
      <c r="N157" s="21">
        <v>0.27382854369324733</v>
      </c>
      <c r="O157" s="21">
        <v>0.72617145630675273</v>
      </c>
    </row>
    <row r="158" spans="1:15" x14ac:dyDescent="0.3">
      <c r="A158" s="17">
        <v>2023</v>
      </c>
      <c r="B158" s="18">
        <f t="shared" si="1"/>
        <v>5776.9</v>
      </c>
      <c r="C158" s="14">
        <v>0</v>
      </c>
      <c r="D158" s="18">
        <v>332.8</v>
      </c>
      <c r="E158" s="14">
        <v>214</v>
      </c>
      <c r="F158" s="13">
        <v>584</v>
      </c>
      <c r="G158" s="14">
        <v>410</v>
      </c>
      <c r="H158" s="14">
        <v>24</v>
      </c>
      <c r="I158" s="13">
        <v>988</v>
      </c>
      <c r="J158" s="18">
        <v>2536.1</v>
      </c>
      <c r="K158" s="13">
        <v>0</v>
      </c>
      <c r="L158" s="18">
        <v>688</v>
      </c>
      <c r="M158" s="13">
        <v>10909</v>
      </c>
      <c r="N158" s="21">
        <v>0.19913042072766654</v>
      </c>
      <c r="O158" s="21">
        <v>0.80086957927233349</v>
      </c>
    </row>
    <row r="159" spans="1:15" x14ac:dyDescent="0.3">
      <c r="A159" s="17">
        <v>2024</v>
      </c>
      <c r="B159" s="18">
        <f t="shared" si="1"/>
        <v>7996.8</v>
      </c>
      <c r="C159" s="14">
        <v>0</v>
      </c>
      <c r="D159" s="18">
        <v>534.79999999999995</v>
      </c>
      <c r="E159" s="14">
        <v>180</v>
      </c>
      <c r="F159" s="13">
        <v>921</v>
      </c>
      <c r="G159" s="14">
        <v>415</v>
      </c>
      <c r="H159" s="14">
        <v>91</v>
      </c>
      <c r="I159" s="13">
        <v>1010</v>
      </c>
      <c r="J159" s="18">
        <v>3448</v>
      </c>
      <c r="K159" s="13">
        <v>0</v>
      </c>
      <c r="L159" s="18">
        <v>1397</v>
      </c>
      <c r="M159" s="13">
        <v>9702</v>
      </c>
      <c r="N159" s="21">
        <v>0.19104115647067216</v>
      </c>
      <c r="O159" s="21">
        <v>0.8089588435293279</v>
      </c>
    </row>
    <row r="161" spans="1:6" ht="18" customHeight="1" x14ac:dyDescent="0.3">
      <c r="A161" s="10" t="s">
        <v>343</v>
      </c>
    </row>
    <row r="162" spans="1:6" ht="45" customHeight="1" x14ac:dyDescent="0.3">
      <c r="A162" s="11" t="s">
        <v>342</v>
      </c>
      <c r="B162" s="11" t="s">
        <v>341</v>
      </c>
      <c r="C162" s="11" t="s">
        <v>666</v>
      </c>
      <c r="D162" s="11" t="s">
        <v>241</v>
      </c>
      <c r="E162" s="11" t="s">
        <v>339</v>
      </c>
      <c r="F162" s="11" t="s">
        <v>665</v>
      </c>
    </row>
    <row r="163" spans="1:6" x14ac:dyDescent="0.3">
      <c r="A163" s="17">
        <v>2000</v>
      </c>
      <c r="B163" s="18">
        <f t="shared" ref="B163:B187" si="2">C135+E135+F135+ G135+H135</f>
        <v>2362</v>
      </c>
      <c r="C163" s="18">
        <f t="shared" ref="C163:C187" si="3">D135+I135+J135+L135+G135+K135</f>
        <v>9063</v>
      </c>
      <c r="D163" s="18">
        <f t="shared" ref="D163:D187" si="4">SUM(B163:C163)</f>
        <v>11425</v>
      </c>
      <c r="E163" s="21">
        <f t="shared" ref="E163:E187" si="5">B163/D163</f>
        <v>0.20673960612691467</v>
      </c>
      <c r="F163" s="21">
        <f t="shared" ref="F163:F187" si="6">C163/D163</f>
        <v>0.79326039387308533</v>
      </c>
    </row>
    <row r="164" spans="1:6" x14ac:dyDescent="0.3">
      <c r="A164" s="17">
        <v>2001</v>
      </c>
      <c r="B164" s="18">
        <f t="shared" si="2"/>
        <v>2672</v>
      </c>
      <c r="C164" s="18">
        <f t="shared" si="3"/>
        <v>12065</v>
      </c>
      <c r="D164" s="18">
        <f t="shared" si="4"/>
        <v>14737</v>
      </c>
      <c r="E164" s="21">
        <f t="shared" si="5"/>
        <v>0.18131234308203842</v>
      </c>
      <c r="F164" s="21">
        <f t="shared" si="6"/>
        <v>0.81868765691796164</v>
      </c>
    </row>
    <row r="165" spans="1:6" x14ac:dyDescent="0.3">
      <c r="A165" s="17">
        <v>2002</v>
      </c>
      <c r="B165" s="18">
        <f t="shared" si="2"/>
        <v>2794</v>
      </c>
      <c r="C165" s="18">
        <f t="shared" si="3"/>
        <v>14926.9</v>
      </c>
      <c r="D165" s="18">
        <f t="shared" si="4"/>
        <v>17720.900000000001</v>
      </c>
      <c r="E165" s="21">
        <f t="shared" si="5"/>
        <v>0.1576669356522524</v>
      </c>
      <c r="F165" s="21">
        <f t="shared" si="6"/>
        <v>0.84233306434774746</v>
      </c>
    </row>
    <row r="166" spans="1:6" x14ac:dyDescent="0.3">
      <c r="A166" s="17">
        <v>2003</v>
      </c>
      <c r="B166" s="18">
        <f t="shared" si="2"/>
        <v>3012</v>
      </c>
      <c r="C166" s="18">
        <f t="shared" si="3"/>
        <v>16475.599999999999</v>
      </c>
      <c r="D166" s="18">
        <f t="shared" si="4"/>
        <v>19487.599999999999</v>
      </c>
      <c r="E166" s="21">
        <f t="shared" si="5"/>
        <v>0.15455982265645848</v>
      </c>
      <c r="F166" s="21">
        <f t="shared" si="6"/>
        <v>0.84544017734354149</v>
      </c>
    </row>
    <row r="167" spans="1:6" x14ac:dyDescent="0.3">
      <c r="A167" s="17">
        <v>2004</v>
      </c>
      <c r="B167" s="18">
        <f t="shared" si="2"/>
        <v>3222</v>
      </c>
      <c r="C167" s="18">
        <f t="shared" si="3"/>
        <v>16050.5</v>
      </c>
      <c r="D167" s="18">
        <f t="shared" si="4"/>
        <v>19272.5</v>
      </c>
      <c r="E167" s="21">
        <f t="shared" si="5"/>
        <v>0.1671812167596316</v>
      </c>
      <c r="F167" s="21">
        <f t="shared" si="6"/>
        <v>0.8328187832403684</v>
      </c>
    </row>
    <row r="168" spans="1:6" x14ac:dyDescent="0.3">
      <c r="A168" s="17">
        <v>2005</v>
      </c>
      <c r="B168" s="18">
        <f t="shared" si="2"/>
        <v>3618</v>
      </c>
      <c r="C168" s="18">
        <f t="shared" si="3"/>
        <v>11161.4</v>
      </c>
      <c r="D168" s="18">
        <f t="shared" si="4"/>
        <v>14779.4</v>
      </c>
      <c r="E168" s="21">
        <f t="shared" si="5"/>
        <v>0.24480019486582677</v>
      </c>
      <c r="F168" s="21">
        <f t="shared" si="6"/>
        <v>0.75519980513417329</v>
      </c>
    </row>
    <row r="169" spans="1:6" x14ac:dyDescent="0.3">
      <c r="A169" s="17">
        <v>2006</v>
      </c>
      <c r="B169" s="18">
        <f t="shared" si="2"/>
        <v>2991</v>
      </c>
      <c r="C169" s="18">
        <f t="shared" si="3"/>
        <v>9486</v>
      </c>
      <c r="D169" s="18">
        <f t="shared" si="4"/>
        <v>12477</v>
      </c>
      <c r="E169" s="21">
        <f t="shared" si="5"/>
        <v>0.23972108679971146</v>
      </c>
      <c r="F169" s="21">
        <f t="shared" si="6"/>
        <v>0.76027891320028851</v>
      </c>
    </row>
    <row r="170" spans="1:6" x14ac:dyDescent="0.3">
      <c r="A170" s="17">
        <v>2007</v>
      </c>
      <c r="B170" s="18">
        <f t="shared" si="2"/>
        <v>3056</v>
      </c>
      <c r="C170" s="18">
        <f t="shared" si="3"/>
        <v>10945.5</v>
      </c>
      <c r="D170" s="18">
        <f t="shared" si="4"/>
        <v>14001.5</v>
      </c>
      <c r="E170" s="21">
        <f t="shared" si="5"/>
        <v>0.21826232903617471</v>
      </c>
      <c r="F170" s="21">
        <f t="shared" si="6"/>
        <v>0.78173767096382529</v>
      </c>
    </row>
    <row r="171" spans="1:6" x14ac:dyDescent="0.3">
      <c r="A171" s="17">
        <v>2008</v>
      </c>
      <c r="B171" s="18">
        <f t="shared" si="2"/>
        <v>2831</v>
      </c>
      <c r="C171" s="18">
        <f t="shared" si="3"/>
        <v>11072.7</v>
      </c>
      <c r="D171" s="18">
        <f t="shared" si="4"/>
        <v>13903.7</v>
      </c>
      <c r="E171" s="21">
        <f t="shared" si="5"/>
        <v>0.20361486510784899</v>
      </c>
      <c r="F171" s="21">
        <f t="shared" si="6"/>
        <v>0.79638513489215101</v>
      </c>
    </row>
    <row r="172" spans="1:6" x14ac:dyDescent="0.3">
      <c r="A172" s="17">
        <v>2009</v>
      </c>
      <c r="B172" s="18">
        <f t="shared" si="2"/>
        <v>3107</v>
      </c>
      <c r="C172" s="18">
        <f t="shared" si="3"/>
        <v>12236</v>
      </c>
      <c r="D172" s="18">
        <f t="shared" si="4"/>
        <v>15343</v>
      </c>
      <c r="E172" s="21">
        <f t="shared" si="5"/>
        <v>0.20250276999283059</v>
      </c>
      <c r="F172" s="21">
        <f t="shared" si="6"/>
        <v>0.79749723000716943</v>
      </c>
    </row>
    <row r="173" spans="1:6" x14ac:dyDescent="0.3">
      <c r="A173" s="17">
        <v>2010</v>
      </c>
      <c r="B173" s="18">
        <f t="shared" si="2"/>
        <v>4083</v>
      </c>
      <c r="C173" s="18">
        <f t="shared" si="3"/>
        <v>1635</v>
      </c>
      <c r="D173" s="18">
        <f t="shared" si="4"/>
        <v>5718</v>
      </c>
      <c r="E173" s="21">
        <f t="shared" si="5"/>
        <v>0.71406086044071349</v>
      </c>
      <c r="F173" s="21">
        <f t="shared" si="6"/>
        <v>0.28593913955928646</v>
      </c>
    </row>
    <row r="174" spans="1:6" x14ac:dyDescent="0.3">
      <c r="A174" s="17">
        <v>2011</v>
      </c>
      <c r="B174" s="18">
        <f t="shared" si="2"/>
        <v>3134</v>
      </c>
      <c r="C174" s="18">
        <f t="shared" si="3"/>
        <v>1652.4</v>
      </c>
      <c r="D174" s="18">
        <f t="shared" si="4"/>
        <v>4786.3999999999996</v>
      </c>
      <c r="E174" s="21">
        <f t="shared" si="5"/>
        <v>0.65477185358515799</v>
      </c>
      <c r="F174" s="21">
        <f t="shared" si="6"/>
        <v>0.34522814641484212</v>
      </c>
    </row>
    <row r="175" spans="1:6" x14ac:dyDescent="0.3">
      <c r="A175" s="17">
        <v>2012</v>
      </c>
      <c r="B175" s="18">
        <f t="shared" si="2"/>
        <v>3346</v>
      </c>
      <c r="C175" s="18">
        <f t="shared" si="3"/>
        <v>1654.6</v>
      </c>
      <c r="D175" s="18">
        <f t="shared" si="4"/>
        <v>5000.6000000000004</v>
      </c>
      <c r="E175" s="21">
        <f t="shared" si="5"/>
        <v>0.66911970563532375</v>
      </c>
      <c r="F175" s="21">
        <f t="shared" si="6"/>
        <v>0.3308802943646762</v>
      </c>
    </row>
    <row r="176" spans="1:6" x14ac:dyDescent="0.3">
      <c r="A176" s="17">
        <v>2013</v>
      </c>
      <c r="B176" s="18">
        <f t="shared" si="2"/>
        <v>2707</v>
      </c>
      <c r="C176" s="18">
        <f t="shared" si="3"/>
        <v>2040.4</v>
      </c>
      <c r="D176" s="18">
        <f t="shared" si="4"/>
        <v>4747.3999999999996</v>
      </c>
      <c r="E176" s="21">
        <f t="shared" si="5"/>
        <v>0.57020685006529892</v>
      </c>
      <c r="F176" s="21">
        <f t="shared" si="6"/>
        <v>0.42979314993470114</v>
      </c>
    </row>
    <row r="177" spans="1:6" x14ac:dyDescent="0.3">
      <c r="A177" s="17">
        <v>2014</v>
      </c>
      <c r="B177" s="18">
        <f t="shared" si="2"/>
        <v>2226</v>
      </c>
      <c r="C177" s="18">
        <f t="shared" si="3"/>
        <v>2164.6999999999998</v>
      </c>
      <c r="D177" s="18">
        <f t="shared" si="4"/>
        <v>4390.7</v>
      </c>
      <c r="E177" s="21">
        <f t="shared" si="5"/>
        <v>0.50698066367549599</v>
      </c>
      <c r="F177" s="21">
        <f t="shared" si="6"/>
        <v>0.49301933632450406</v>
      </c>
    </row>
    <row r="178" spans="1:6" x14ac:dyDescent="0.3">
      <c r="A178" s="17">
        <v>2015</v>
      </c>
      <c r="B178" s="18">
        <f t="shared" si="2"/>
        <v>2622</v>
      </c>
      <c r="C178" s="18">
        <f t="shared" si="3"/>
        <v>2328.5</v>
      </c>
      <c r="D178" s="18">
        <f t="shared" si="4"/>
        <v>4950.5</v>
      </c>
      <c r="E178" s="21">
        <f t="shared" si="5"/>
        <v>0.52964347035652959</v>
      </c>
      <c r="F178" s="21">
        <f t="shared" si="6"/>
        <v>0.47035652964347036</v>
      </c>
    </row>
    <row r="179" spans="1:6" x14ac:dyDescent="0.3">
      <c r="A179" s="17">
        <v>2016</v>
      </c>
      <c r="B179" s="18">
        <f t="shared" si="2"/>
        <v>1628</v>
      </c>
      <c r="C179" s="18">
        <f t="shared" si="3"/>
        <v>2659.1000000000004</v>
      </c>
      <c r="D179" s="18">
        <f t="shared" si="4"/>
        <v>4287.1000000000004</v>
      </c>
      <c r="E179" s="21">
        <f t="shared" si="5"/>
        <v>0.37974388281122434</v>
      </c>
      <c r="F179" s="21">
        <f t="shared" si="6"/>
        <v>0.62025611718877571</v>
      </c>
    </row>
    <row r="180" spans="1:6" x14ac:dyDescent="0.3">
      <c r="A180" s="17">
        <v>2017</v>
      </c>
      <c r="B180" s="18">
        <f t="shared" si="2"/>
        <v>1142</v>
      </c>
      <c r="C180" s="18">
        <f t="shared" si="3"/>
        <v>3060.3</v>
      </c>
      <c r="D180" s="18">
        <f t="shared" si="4"/>
        <v>4202.3</v>
      </c>
      <c r="E180" s="21">
        <f t="shared" si="5"/>
        <v>0.27175594317397617</v>
      </c>
      <c r="F180" s="21">
        <f t="shared" si="6"/>
        <v>0.72824405682602389</v>
      </c>
    </row>
    <row r="181" spans="1:6" x14ac:dyDescent="0.3">
      <c r="A181" s="17">
        <v>2018</v>
      </c>
      <c r="B181" s="18">
        <f t="shared" si="2"/>
        <v>824</v>
      </c>
      <c r="C181" s="18">
        <f t="shared" si="3"/>
        <v>2643.4</v>
      </c>
      <c r="D181" s="18">
        <f t="shared" si="4"/>
        <v>3467.4</v>
      </c>
      <c r="E181" s="21">
        <f t="shared" si="5"/>
        <v>0.23764203726134855</v>
      </c>
      <c r="F181" s="21">
        <f t="shared" si="6"/>
        <v>0.76235796273865142</v>
      </c>
    </row>
    <row r="182" spans="1:6" x14ac:dyDescent="0.3">
      <c r="A182" s="17">
        <v>2019</v>
      </c>
      <c r="B182" s="18">
        <f t="shared" si="2"/>
        <v>946</v>
      </c>
      <c r="C182" s="18">
        <f t="shared" si="3"/>
        <v>2965.9</v>
      </c>
      <c r="D182" s="18">
        <f t="shared" si="4"/>
        <v>3911.9</v>
      </c>
      <c r="E182" s="21">
        <f t="shared" si="5"/>
        <v>0.24182622255170122</v>
      </c>
      <c r="F182" s="21">
        <f t="shared" si="6"/>
        <v>0.75817377744829884</v>
      </c>
    </row>
    <row r="183" spans="1:6" x14ac:dyDescent="0.3">
      <c r="A183" s="17">
        <v>2020</v>
      </c>
      <c r="B183" s="18">
        <f t="shared" si="2"/>
        <v>2233</v>
      </c>
      <c r="C183" s="18">
        <f t="shared" si="3"/>
        <v>3281.9</v>
      </c>
      <c r="D183" s="18">
        <f t="shared" si="4"/>
        <v>5514.9</v>
      </c>
      <c r="E183" s="21">
        <f t="shared" si="5"/>
        <v>0.40490308074489112</v>
      </c>
      <c r="F183" s="21">
        <f t="shared" si="6"/>
        <v>0.59509691925510899</v>
      </c>
    </row>
    <row r="184" spans="1:6" x14ac:dyDescent="0.3">
      <c r="A184" s="17">
        <v>2021</v>
      </c>
      <c r="B184" s="18">
        <f t="shared" si="2"/>
        <v>1887</v>
      </c>
      <c r="C184" s="18">
        <f t="shared" si="3"/>
        <v>3345.5</v>
      </c>
      <c r="D184" s="18">
        <f t="shared" si="4"/>
        <v>5232.5</v>
      </c>
      <c r="E184" s="21">
        <f t="shared" si="5"/>
        <v>0.36063067367415191</v>
      </c>
      <c r="F184" s="21">
        <f t="shared" si="6"/>
        <v>0.63936932632584809</v>
      </c>
    </row>
    <row r="185" spans="1:6" x14ac:dyDescent="0.3">
      <c r="A185" s="17">
        <v>2022</v>
      </c>
      <c r="B185" s="18">
        <f t="shared" si="2"/>
        <v>1354</v>
      </c>
      <c r="C185" s="18">
        <f t="shared" si="3"/>
        <v>3590.7</v>
      </c>
      <c r="D185" s="18">
        <f t="shared" si="4"/>
        <v>4944.7</v>
      </c>
      <c r="E185" s="21">
        <f t="shared" si="5"/>
        <v>0.27382854369324733</v>
      </c>
      <c r="F185" s="21">
        <f t="shared" si="6"/>
        <v>0.72617145630675273</v>
      </c>
    </row>
    <row r="186" spans="1:6" x14ac:dyDescent="0.3">
      <c r="A186" s="17">
        <v>2023</v>
      </c>
      <c r="B186" s="18">
        <f t="shared" si="2"/>
        <v>1232</v>
      </c>
      <c r="C186" s="18">
        <f t="shared" si="3"/>
        <v>4954.8999999999996</v>
      </c>
      <c r="D186" s="18">
        <f t="shared" si="4"/>
        <v>6186.9</v>
      </c>
      <c r="E186" s="21">
        <f t="shared" si="5"/>
        <v>0.19913042072766654</v>
      </c>
      <c r="F186" s="21">
        <f t="shared" si="6"/>
        <v>0.80086957927233349</v>
      </c>
    </row>
    <row r="187" spans="1:6" x14ac:dyDescent="0.3">
      <c r="A187" s="17">
        <v>2024</v>
      </c>
      <c r="B187" s="18">
        <f t="shared" si="2"/>
        <v>1607</v>
      </c>
      <c r="C187" s="18">
        <f t="shared" si="3"/>
        <v>6804.8</v>
      </c>
      <c r="D187" s="18">
        <f t="shared" si="4"/>
        <v>8411.7999999999993</v>
      </c>
      <c r="E187" s="21">
        <f t="shared" si="5"/>
        <v>0.19104115647067216</v>
      </c>
      <c r="F187" s="21">
        <f t="shared" si="6"/>
        <v>0.8089588435293279</v>
      </c>
    </row>
    <row r="189" spans="1:6" ht="18" customHeight="1" x14ac:dyDescent="0.3">
      <c r="A189" s="10" t="s">
        <v>337</v>
      </c>
    </row>
    <row r="190" spans="1:6" ht="58" customHeight="1" x14ac:dyDescent="0.3">
      <c r="A190" s="11" t="s">
        <v>73</v>
      </c>
      <c r="B190" s="11" t="s">
        <v>282</v>
      </c>
      <c r="C190" s="11" t="s">
        <v>336</v>
      </c>
    </row>
    <row r="191" spans="1:6" x14ac:dyDescent="0.3">
      <c r="A191" s="17">
        <v>2000</v>
      </c>
      <c r="B191" s="18">
        <v>6198</v>
      </c>
      <c r="C191" s="21">
        <v>0.14000000000000001</v>
      </c>
    </row>
    <row r="192" spans="1:6" x14ac:dyDescent="0.3">
      <c r="A192" s="17">
        <v>2001</v>
      </c>
      <c r="B192" s="18">
        <v>6448</v>
      </c>
      <c r="C192" s="21">
        <v>0.14000000000000001</v>
      </c>
    </row>
    <row r="193" spans="1:3" x14ac:dyDescent="0.3">
      <c r="A193" s="17">
        <v>2002</v>
      </c>
      <c r="B193" s="18">
        <v>6723</v>
      </c>
      <c r="C193" s="21">
        <v>0.14000000000000001</v>
      </c>
    </row>
    <row r="194" spans="1:3" x14ac:dyDescent="0.3">
      <c r="A194" s="17">
        <v>2003</v>
      </c>
      <c r="B194" s="18">
        <v>7180</v>
      </c>
      <c r="C194" s="21">
        <v>0.15</v>
      </c>
    </row>
    <row r="195" spans="1:3" x14ac:dyDescent="0.3">
      <c r="A195" s="17">
        <v>2004</v>
      </c>
      <c r="B195" s="18">
        <v>7651</v>
      </c>
      <c r="C195" s="21">
        <v>0.15</v>
      </c>
    </row>
    <row r="196" spans="1:3" x14ac:dyDescent="0.3">
      <c r="A196" s="17">
        <v>2005</v>
      </c>
      <c r="B196" s="18">
        <v>7978</v>
      </c>
      <c r="C196" s="21">
        <v>0.15</v>
      </c>
    </row>
    <row r="197" spans="1:3" x14ac:dyDescent="0.3">
      <c r="A197" s="17">
        <v>2006</v>
      </c>
      <c r="B197" s="18">
        <v>8433</v>
      </c>
      <c r="C197" s="21">
        <v>0.15</v>
      </c>
    </row>
    <row r="198" spans="1:3" x14ac:dyDescent="0.3">
      <c r="A198" s="17">
        <v>2007</v>
      </c>
      <c r="B198" s="18">
        <v>8860</v>
      </c>
      <c r="C198" s="21">
        <v>0.15</v>
      </c>
    </row>
    <row r="199" spans="1:3" x14ac:dyDescent="0.3">
      <c r="A199" s="17">
        <v>2008</v>
      </c>
      <c r="B199" s="18">
        <v>9045</v>
      </c>
      <c r="C199" s="21">
        <v>0.15</v>
      </c>
    </row>
    <row r="200" spans="1:3" x14ac:dyDescent="0.3">
      <c r="A200" s="17">
        <v>2009</v>
      </c>
      <c r="B200" s="18">
        <v>8372</v>
      </c>
      <c r="C200" s="21">
        <v>0.16</v>
      </c>
    </row>
    <row r="201" spans="1:3" x14ac:dyDescent="0.3">
      <c r="A201" s="17">
        <v>2010</v>
      </c>
      <c r="B201" s="18">
        <v>8333</v>
      </c>
      <c r="C201" s="21">
        <v>0.15</v>
      </c>
    </row>
    <row r="202" spans="1:3" x14ac:dyDescent="0.3">
      <c r="A202" s="17">
        <v>2011</v>
      </c>
      <c r="B202" s="18">
        <v>8581</v>
      </c>
      <c r="C202" s="21">
        <v>0.15</v>
      </c>
    </row>
    <row r="203" spans="1:3" x14ac:dyDescent="0.3">
      <c r="A203" s="17">
        <v>2012</v>
      </c>
      <c r="B203" s="18">
        <v>8923</v>
      </c>
      <c r="C203" s="21">
        <v>0.16</v>
      </c>
    </row>
    <row r="204" spans="1:3" x14ac:dyDescent="0.3">
      <c r="A204" s="17">
        <v>2013</v>
      </c>
      <c r="B204" s="18">
        <v>8959</v>
      </c>
      <c r="C204" s="21">
        <v>0.16</v>
      </c>
    </row>
    <row r="205" spans="1:3" x14ac:dyDescent="0.3">
      <c r="A205" s="17">
        <v>2014</v>
      </c>
      <c r="B205" s="18">
        <v>9239</v>
      </c>
      <c r="C205" s="21">
        <v>0.16</v>
      </c>
    </row>
    <row r="206" spans="1:3" x14ac:dyDescent="0.3">
      <c r="A206" s="17">
        <v>2015</v>
      </c>
      <c r="B206" s="18">
        <v>9344</v>
      </c>
      <c r="C206" s="21">
        <v>0.17</v>
      </c>
    </row>
    <row r="207" spans="1:3" x14ac:dyDescent="0.3">
      <c r="A207" s="17">
        <v>2016</v>
      </c>
      <c r="B207" s="18">
        <v>9752</v>
      </c>
      <c r="C207" s="21">
        <v>0.16</v>
      </c>
    </row>
    <row r="208" spans="1:3" x14ac:dyDescent="0.3">
      <c r="A208" s="17">
        <v>2017</v>
      </c>
      <c r="B208" s="18">
        <v>10061</v>
      </c>
      <c r="C208" s="21">
        <v>0.16</v>
      </c>
    </row>
    <row r="209" spans="1:26" x14ac:dyDescent="0.3">
      <c r="A209" s="17">
        <v>2018</v>
      </c>
      <c r="B209" s="18">
        <v>10401</v>
      </c>
      <c r="C209" s="21">
        <v>0.16</v>
      </c>
    </row>
    <row r="210" spans="1:26" x14ac:dyDescent="0.3">
      <c r="A210" s="17">
        <v>2019</v>
      </c>
      <c r="B210" s="18">
        <v>10543</v>
      </c>
      <c r="C210" s="21">
        <v>0.16</v>
      </c>
    </row>
    <row r="211" spans="1:26" x14ac:dyDescent="0.3">
      <c r="A211" s="17">
        <v>2020</v>
      </c>
      <c r="B211" s="18">
        <v>10355</v>
      </c>
      <c r="C211" s="21">
        <v>0.17</v>
      </c>
    </row>
    <row r="212" spans="1:26" x14ac:dyDescent="0.3">
      <c r="A212" s="17">
        <v>2021</v>
      </c>
      <c r="B212" s="18">
        <v>11157</v>
      </c>
      <c r="C212" s="21">
        <v>0.17</v>
      </c>
    </row>
    <row r="213" spans="1:26" x14ac:dyDescent="0.3">
      <c r="A213" s="17">
        <v>2022</v>
      </c>
      <c r="B213" s="18">
        <v>10665</v>
      </c>
      <c r="C213" s="21">
        <v>0.17</v>
      </c>
    </row>
    <row r="214" spans="1:26" x14ac:dyDescent="0.3">
      <c r="A214" s="17">
        <v>2023</v>
      </c>
      <c r="B214" s="18">
        <v>10220</v>
      </c>
      <c r="C214" s="21">
        <v>0.16</v>
      </c>
    </row>
    <row r="215" spans="1:26" x14ac:dyDescent="0.3">
      <c r="A215" s="17">
        <v>2024</v>
      </c>
      <c r="B215" s="18">
        <v>10818</v>
      </c>
      <c r="C215" s="21">
        <v>0.16</v>
      </c>
    </row>
    <row r="217" spans="1:26" x14ac:dyDescent="0.3">
      <c r="A217" s="78" t="s">
        <v>335</v>
      </c>
      <c r="B217" s="78"/>
      <c r="C217" s="78"/>
      <c r="D217" s="78"/>
    </row>
    <row r="219" spans="1:26" ht="18" customHeight="1" x14ac:dyDescent="0.3">
      <c r="A219" s="10" t="s">
        <v>202</v>
      </c>
    </row>
    <row r="220" spans="1:26" ht="32" customHeight="1" x14ac:dyDescent="0.3">
      <c r="A220" s="22" t="s">
        <v>203</v>
      </c>
      <c r="B220" s="11">
        <v>2000</v>
      </c>
      <c r="C220" s="11">
        <v>2001</v>
      </c>
      <c r="D220" s="11">
        <v>2002</v>
      </c>
      <c r="E220" s="11">
        <v>2003</v>
      </c>
      <c r="F220" s="11">
        <v>2004</v>
      </c>
      <c r="G220" s="11">
        <v>2005</v>
      </c>
      <c r="H220" s="11">
        <v>2006</v>
      </c>
      <c r="I220" s="11">
        <v>2007</v>
      </c>
      <c r="J220" s="11">
        <v>2008</v>
      </c>
      <c r="K220" s="11">
        <v>2009</v>
      </c>
      <c r="L220" s="11">
        <v>2010</v>
      </c>
      <c r="M220" s="11">
        <v>2011</v>
      </c>
      <c r="N220" s="11">
        <v>2012</v>
      </c>
      <c r="O220" s="11">
        <v>2013</v>
      </c>
      <c r="P220" s="11">
        <v>2014</v>
      </c>
      <c r="Q220" s="11">
        <v>2015</v>
      </c>
      <c r="R220" s="11">
        <v>2016</v>
      </c>
      <c r="S220" s="11">
        <v>2017</v>
      </c>
      <c r="T220" s="11">
        <v>2018</v>
      </c>
      <c r="U220" s="11">
        <v>2019</v>
      </c>
      <c r="V220" s="11">
        <v>2020</v>
      </c>
      <c r="W220" s="11">
        <v>2021</v>
      </c>
      <c r="X220" s="11">
        <v>2022</v>
      </c>
      <c r="Y220" s="11">
        <v>2023</v>
      </c>
      <c r="Z220" s="11">
        <v>2024</v>
      </c>
    </row>
    <row r="221" spans="1:26" x14ac:dyDescent="0.3">
      <c r="A221" s="23" t="s">
        <v>204</v>
      </c>
      <c r="B221" s="13">
        <v>8619</v>
      </c>
      <c r="C221" s="13">
        <v>8565</v>
      </c>
      <c r="D221" s="13">
        <v>9494</v>
      </c>
      <c r="E221" s="13">
        <v>9999</v>
      </c>
      <c r="F221" s="13">
        <v>10276</v>
      </c>
      <c r="G221" s="13">
        <v>11689</v>
      </c>
      <c r="H221" s="13">
        <v>12044</v>
      </c>
      <c r="I221" s="13">
        <v>12336</v>
      </c>
      <c r="J221" s="13">
        <v>11058</v>
      </c>
      <c r="K221" s="13">
        <v>9711</v>
      </c>
      <c r="L221" s="13">
        <v>10572</v>
      </c>
      <c r="M221" s="13">
        <v>11323</v>
      </c>
      <c r="N221" s="13">
        <v>11987</v>
      </c>
      <c r="O221" s="13">
        <v>11595</v>
      </c>
      <c r="P221" s="13">
        <v>11614</v>
      </c>
      <c r="Q221" s="18">
        <v>11429.444</v>
      </c>
      <c r="R221" s="18">
        <v>11501.71</v>
      </c>
      <c r="S221" s="18">
        <v>12454.879000000001</v>
      </c>
      <c r="T221" s="18">
        <v>12869.612999999999</v>
      </c>
      <c r="U221" s="18">
        <v>12953.06</v>
      </c>
      <c r="V221" s="18">
        <v>11913.073</v>
      </c>
      <c r="W221" s="18">
        <v>12899.578</v>
      </c>
      <c r="X221" s="18">
        <v>11093.535</v>
      </c>
      <c r="Y221" s="18">
        <v>10451.529</v>
      </c>
      <c r="Z221" s="18">
        <v>11394.948</v>
      </c>
    </row>
    <row r="222" spans="1:26" x14ac:dyDescent="0.3">
      <c r="A222" s="23" t="s">
        <v>205</v>
      </c>
      <c r="B222" s="21">
        <v>0.25</v>
      </c>
      <c r="C222" s="21">
        <v>0.26</v>
      </c>
      <c r="D222" s="21">
        <v>0.26</v>
      </c>
      <c r="E222" s="21">
        <v>0.25</v>
      </c>
      <c r="F222" s="21">
        <v>0.26</v>
      </c>
      <c r="G222" s="21">
        <v>0.23</v>
      </c>
      <c r="H222" s="21">
        <v>0.23</v>
      </c>
      <c r="I222" s="21">
        <v>0.24</v>
      </c>
      <c r="J222" s="21">
        <v>0.24</v>
      </c>
      <c r="K222" s="21">
        <v>0.24</v>
      </c>
      <c r="L222" s="21">
        <v>0.24</v>
      </c>
      <c r="M222" s="21">
        <v>0.24</v>
      </c>
      <c r="N222" s="21">
        <v>0.23</v>
      </c>
      <c r="O222" s="21">
        <v>0.25</v>
      </c>
      <c r="P222" s="21">
        <v>0.26</v>
      </c>
      <c r="Q222" s="21">
        <v>0.28999999999999998</v>
      </c>
      <c r="R222" s="21">
        <v>0.3</v>
      </c>
      <c r="S222" s="21">
        <v>0.28999999999999998</v>
      </c>
      <c r="T222" s="21">
        <v>0.28999999999999998</v>
      </c>
      <c r="U222" s="21">
        <v>0.28999999999999998</v>
      </c>
      <c r="V222" s="21">
        <v>0.31</v>
      </c>
      <c r="W222" s="21">
        <v>0.3</v>
      </c>
      <c r="X222" s="21">
        <v>0.32</v>
      </c>
      <c r="Y222" s="21">
        <v>0.32</v>
      </c>
      <c r="Z222" s="21">
        <v>0.31</v>
      </c>
    </row>
    <row r="224" spans="1:26" ht="18" customHeight="1" x14ac:dyDescent="0.3">
      <c r="A224" s="10" t="s">
        <v>207</v>
      </c>
    </row>
    <row r="225" spans="1:26" ht="32" customHeight="1" x14ac:dyDescent="0.3">
      <c r="A225" s="22" t="s">
        <v>208</v>
      </c>
      <c r="B225" s="11">
        <v>2000</v>
      </c>
      <c r="C225" s="11">
        <v>2001</v>
      </c>
      <c r="D225" s="11">
        <v>2002</v>
      </c>
      <c r="E225" s="11">
        <v>2003</v>
      </c>
      <c r="F225" s="11">
        <v>2004</v>
      </c>
      <c r="G225" s="11">
        <v>2005</v>
      </c>
      <c r="H225" s="11">
        <v>2006</v>
      </c>
      <c r="I225" s="11">
        <v>2007</v>
      </c>
      <c r="J225" s="11">
        <v>2008</v>
      </c>
      <c r="K225" s="11">
        <v>2009</v>
      </c>
      <c r="L225" s="11">
        <v>2010</v>
      </c>
      <c r="M225" s="11">
        <v>2011</v>
      </c>
      <c r="N225" s="11">
        <v>2012</v>
      </c>
      <c r="O225" s="11">
        <v>2013</v>
      </c>
      <c r="P225" s="11">
        <v>2014</v>
      </c>
      <c r="Q225" s="11">
        <v>2015</v>
      </c>
      <c r="R225" s="11">
        <v>2016</v>
      </c>
      <c r="S225" s="11">
        <v>2017</v>
      </c>
      <c r="T225" s="11">
        <v>2018</v>
      </c>
      <c r="U225" s="11">
        <v>2019</v>
      </c>
      <c r="V225" s="11">
        <v>2020</v>
      </c>
      <c r="W225" s="11">
        <v>2021</v>
      </c>
      <c r="X225" s="11">
        <v>2022</v>
      </c>
      <c r="Y225" s="11">
        <v>2023</v>
      </c>
      <c r="Z225" s="11">
        <v>2024</v>
      </c>
    </row>
    <row r="226" spans="1:26" x14ac:dyDescent="0.3">
      <c r="A226" s="23" t="s">
        <v>204</v>
      </c>
      <c r="B226" s="13">
        <v>12284</v>
      </c>
      <c r="C226" s="13">
        <v>13463</v>
      </c>
      <c r="D226" s="13">
        <v>13897</v>
      </c>
      <c r="E226" s="13">
        <v>14191</v>
      </c>
      <c r="F226" s="13">
        <v>15583</v>
      </c>
      <c r="G226" s="13">
        <v>16723</v>
      </c>
      <c r="H226" s="13">
        <v>18029</v>
      </c>
      <c r="I226" s="13">
        <v>21435</v>
      </c>
      <c r="J226" s="13">
        <v>21491</v>
      </c>
      <c r="K226" s="13">
        <v>17515</v>
      </c>
      <c r="L226" s="13">
        <v>18040</v>
      </c>
      <c r="M226" s="13">
        <v>17958</v>
      </c>
      <c r="N226" s="13">
        <v>18311</v>
      </c>
      <c r="O226" s="13">
        <v>18361</v>
      </c>
      <c r="P226" s="13">
        <v>20356</v>
      </c>
      <c r="Q226" s="18">
        <v>20354.661</v>
      </c>
      <c r="R226" s="18">
        <v>21684.280999999999</v>
      </c>
      <c r="S226" s="18">
        <v>22795.089</v>
      </c>
      <c r="T226" s="18">
        <v>24207.78</v>
      </c>
      <c r="U226" s="18">
        <v>25012.304</v>
      </c>
      <c r="V226" s="18">
        <v>24730.687000000002</v>
      </c>
      <c r="W226" s="18">
        <v>24946.022000000001</v>
      </c>
      <c r="X226" s="18">
        <v>24464.806</v>
      </c>
      <c r="Y226" s="18">
        <v>24935.887999999999</v>
      </c>
      <c r="Z226" s="18">
        <v>24244.816999999999</v>
      </c>
    </row>
    <row r="227" spans="1:26" x14ac:dyDescent="0.3">
      <c r="A227" s="23" t="s">
        <v>205</v>
      </c>
      <c r="B227" s="20">
        <v>6.0000000000000001E-3</v>
      </c>
      <c r="C227" s="20">
        <v>7.0000000000000001E-3</v>
      </c>
      <c r="D227" s="20">
        <v>6.0000000000000001E-3</v>
      </c>
      <c r="E227" s="20">
        <v>6.0000000000000001E-3</v>
      </c>
      <c r="F227" s="20">
        <v>6.0000000000000001E-3</v>
      </c>
      <c r="G227" s="20">
        <v>6.0000000000000001E-3</v>
      </c>
      <c r="H227" s="20">
        <v>5.0000000000000001E-3</v>
      </c>
      <c r="I227" s="20">
        <v>3.0000000000000001E-3</v>
      </c>
      <c r="J227" s="20">
        <v>4.0000000000000001E-3</v>
      </c>
      <c r="K227" s="20">
        <v>4.0000000000000001E-3</v>
      </c>
      <c r="L227" s="20">
        <v>4.0000000000000001E-3</v>
      </c>
      <c r="M227" s="20">
        <v>4.0000000000000001E-3</v>
      </c>
      <c r="N227" s="20">
        <v>4.0000000000000001E-3</v>
      </c>
      <c r="O227" s="20">
        <v>4.0000000000000001E-3</v>
      </c>
      <c r="P227" s="20">
        <v>3.0000000000000001E-3</v>
      </c>
      <c r="Q227" s="20">
        <v>3.0000000000000001E-3</v>
      </c>
      <c r="R227" s="20">
        <v>3.0000000000000001E-3</v>
      </c>
      <c r="S227" s="20">
        <v>3.0000000000000001E-3</v>
      </c>
      <c r="T227" s="20">
        <v>3.0000000000000001E-3</v>
      </c>
      <c r="U227" s="20">
        <v>3.0000000000000001E-3</v>
      </c>
      <c r="V227" s="20">
        <v>3.0000000000000001E-3</v>
      </c>
      <c r="W227" s="20">
        <v>3.0000000000000001E-3</v>
      </c>
      <c r="X227" s="20">
        <v>4.0000000000000001E-3</v>
      </c>
      <c r="Y227" s="20">
        <v>4.0000000000000001E-3</v>
      </c>
      <c r="Z227" s="20">
        <v>5.0000000000000001E-3</v>
      </c>
    </row>
    <row r="229" spans="1:26" ht="18" customHeight="1" x14ac:dyDescent="0.3">
      <c r="A229" s="10" t="s">
        <v>209</v>
      </c>
    </row>
    <row r="230" spans="1:26" ht="32" customHeight="1" x14ac:dyDescent="0.3">
      <c r="A230" s="22" t="s">
        <v>134</v>
      </c>
      <c r="B230" s="11">
        <v>2000</v>
      </c>
      <c r="C230" s="11">
        <v>2001</v>
      </c>
      <c r="D230" s="11">
        <v>2002</v>
      </c>
      <c r="E230" s="11">
        <v>2003</v>
      </c>
      <c r="F230" s="11">
        <v>2004</v>
      </c>
      <c r="G230" s="11">
        <v>2005</v>
      </c>
      <c r="H230" s="11">
        <v>2006</v>
      </c>
      <c r="I230" s="11">
        <v>2007</v>
      </c>
      <c r="J230" s="11">
        <v>2008</v>
      </c>
      <c r="K230" s="11">
        <v>2009</v>
      </c>
      <c r="L230" s="11">
        <v>2010</v>
      </c>
      <c r="M230" s="11">
        <v>2011</v>
      </c>
      <c r="N230" s="11">
        <v>2012</v>
      </c>
      <c r="O230" s="11">
        <v>2013</v>
      </c>
      <c r="P230" s="11">
        <v>2014</v>
      </c>
      <c r="Q230" s="11">
        <v>2015</v>
      </c>
      <c r="R230" s="11">
        <v>2016</v>
      </c>
      <c r="S230" s="11">
        <v>2017</v>
      </c>
      <c r="T230" s="11">
        <v>2018</v>
      </c>
      <c r="U230" s="11">
        <v>2019</v>
      </c>
      <c r="V230" s="11">
        <v>2020</v>
      </c>
      <c r="W230" s="11">
        <v>2021</v>
      </c>
      <c r="X230" s="11">
        <v>2022</v>
      </c>
      <c r="Y230" s="11">
        <v>2023</v>
      </c>
      <c r="Z230" s="11">
        <v>2024</v>
      </c>
    </row>
    <row r="231" spans="1:26" x14ac:dyDescent="0.3">
      <c r="A231" s="23" t="s">
        <v>204</v>
      </c>
      <c r="B231" s="13">
        <v>21284</v>
      </c>
      <c r="C231" s="13">
        <v>21954</v>
      </c>
      <c r="D231" s="13">
        <v>22423</v>
      </c>
      <c r="E231" s="13">
        <v>23074</v>
      </c>
      <c r="F231" s="13">
        <v>23524</v>
      </c>
      <c r="G231" s="13">
        <v>24075</v>
      </c>
      <c r="H231" s="13">
        <v>25309</v>
      </c>
      <c r="I231" s="13">
        <v>24811</v>
      </c>
      <c r="J231" s="13">
        <v>25068</v>
      </c>
      <c r="K231" s="13">
        <v>25129</v>
      </c>
      <c r="L231" s="13">
        <v>25530</v>
      </c>
      <c r="M231" s="13">
        <v>24618</v>
      </c>
      <c r="N231" s="13">
        <v>24968</v>
      </c>
      <c r="O231" s="13">
        <v>23980</v>
      </c>
      <c r="P231" s="13">
        <v>23118</v>
      </c>
      <c r="Q231" s="13">
        <v>22505</v>
      </c>
      <c r="R231" s="13">
        <v>23668</v>
      </c>
      <c r="S231" s="13">
        <v>24307</v>
      </c>
      <c r="T231" s="13">
        <v>25162</v>
      </c>
      <c r="U231" s="13">
        <v>24129</v>
      </c>
      <c r="V231" s="13">
        <v>23374</v>
      </c>
      <c r="W231" s="13">
        <v>26483</v>
      </c>
      <c r="X231" s="13">
        <v>25259</v>
      </c>
      <c r="Y231" s="13">
        <v>24837</v>
      </c>
      <c r="Z231" s="13">
        <v>26278</v>
      </c>
    </row>
    <row r="232" spans="1:26" x14ac:dyDescent="0.3">
      <c r="A232" s="23" t="s">
        <v>205</v>
      </c>
      <c r="B232" s="21">
        <v>0.17</v>
      </c>
      <c r="C232" s="21">
        <v>0.17</v>
      </c>
      <c r="D232" s="21">
        <v>0.17</v>
      </c>
      <c r="E232" s="21">
        <v>0.19</v>
      </c>
      <c r="F232" s="21">
        <v>0.2</v>
      </c>
      <c r="G232" s="21">
        <v>0.2</v>
      </c>
      <c r="H232" s="21">
        <v>0.21</v>
      </c>
      <c r="I232" s="21">
        <v>0.22</v>
      </c>
      <c r="J232" s="21">
        <v>0.24</v>
      </c>
      <c r="K232" s="21">
        <v>0.23</v>
      </c>
      <c r="L232" s="21">
        <v>0.21</v>
      </c>
      <c r="M232" s="21">
        <v>0.23</v>
      </c>
      <c r="N232" s="21">
        <v>0.23</v>
      </c>
      <c r="O232" s="21">
        <v>0.24</v>
      </c>
      <c r="P232" s="21">
        <v>0.25</v>
      </c>
      <c r="Q232" s="21">
        <v>0.26</v>
      </c>
      <c r="R232" s="21">
        <v>0.26</v>
      </c>
      <c r="S232" s="21">
        <v>0.25</v>
      </c>
      <c r="T232" s="21">
        <v>0.26</v>
      </c>
      <c r="U232" s="21">
        <v>0.27</v>
      </c>
      <c r="V232" s="21">
        <v>0.27</v>
      </c>
      <c r="W232" s="21">
        <v>0.26</v>
      </c>
      <c r="X232" s="21">
        <v>0.27</v>
      </c>
      <c r="Y232" s="21">
        <v>0.26</v>
      </c>
      <c r="Z232" s="21">
        <v>0.26</v>
      </c>
    </row>
    <row r="234" spans="1:26" ht="18" customHeight="1" x14ac:dyDescent="0.3">
      <c r="A234" s="10" t="s">
        <v>334</v>
      </c>
    </row>
    <row r="235" spans="1:26" ht="45" customHeight="1" x14ac:dyDescent="0.3">
      <c r="A235" s="11" t="s">
        <v>73</v>
      </c>
      <c r="B235" s="11" t="s">
        <v>331</v>
      </c>
      <c r="C235" s="11" t="s">
        <v>260</v>
      </c>
      <c r="D235" s="11" t="s">
        <v>328</v>
      </c>
      <c r="E235" s="11" t="s">
        <v>333</v>
      </c>
      <c r="F235" s="11" t="s">
        <v>325</v>
      </c>
      <c r="G235" s="11" t="s">
        <v>282</v>
      </c>
      <c r="H235" s="11" t="s">
        <v>332</v>
      </c>
      <c r="K235" s="11" t="s">
        <v>73</v>
      </c>
      <c r="L235" s="11" t="s">
        <v>331</v>
      </c>
      <c r="M235" s="11" t="s">
        <v>330</v>
      </c>
      <c r="N235" s="11" t="s">
        <v>329</v>
      </c>
      <c r="O235" s="11" t="s">
        <v>328</v>
      </c>
      <c r="P235" s="11" t="s">
        <v>327</v>
      </c>
      <c r="Q235" s="11" t="s">
        <v>326</v>
      </c>
      <c r="R235" s="11" t="s">
        <v>325</v>
      </c>
      <c r="S235" s="11" t="s">
        <v>282</v>
      </c>
      <c r="T235" s="11" t="s">
        <v>241</v>
      </c>
      <c r="U235" s="11" t="s">
        <v>332</v>
      </c>
    </row>
    <row r="236" spans="1:26" x14ac:dyDescent="0.3">
      <c r="A236" s="17">
        <v>2000</v>
      </c>
      <c r="B236" s="18">
        <f t="shared" ref="B236:B260" si="7">L236</f>
        <v>931.5630000000001</v>
      </c>
      <c r="C236" s="18">
        <f t="shared" ref="C236:C260" si="8">M236+N236</f>
        <v>31563.820000000003</v>
      </c>
      <c r="D236" s="18">
        <f t="shared" ref="D236:D260" si="9">O236</f>
        <v>4222.8530000000001</v>
      </c>
      <c r="E236" s="18">
        <f t="shared" ref="E236:E260" si="10">P236+Q236</f>
        <v>7044.2910000000002</v>
      </c>
      <c r="F236" s="18">
        <f t="shared" ref="F236:F260" si="11">R236</f>
        <v>9624.9880000000012</v>
      </c>
      <c r="G236" s="18">
        <f t="shared" ref="G236:G260" si="12">S236</f>
        <v>6197.6270000000004</v>
      </c>
      <c r="H236" s="21">
        <v>0.10401296014365462</v>
      </c>
      <c r="K236" s="17">
        <v>2000</v>
      </c>
      <c r="L236" s="18">
        <v>931.5630000000001</v>
      </c>
      <c r="M236" s="18">
        <v>0</v>
      </c>
      <c r="N236" s="18">
        <v>31563.820000000003</v>
      </c>
      <c r="O236" s="18">
        <v>4222.8530000000001</v>
      </c>
      <c r="P236" s="18">
        <v>7044.2910000000002</v>
      </c>
      <c r="Q236" s="18">
        <v>0</v>
      </c>
      <c r="R236" s="18">
        <v>9624.9880000000012</v>
      </c>
      <c r="S236" s="18">
        <v>6197.6270000000004</v>
      </c>
      <c r="T236" s="18">
        <f t="shared" ref="T236:T260" si="13">SUM(L236:S236)</f>
        <v>59585.142</v>
      </c>
      <c r="U236" s="21">
        <f t="shared" ref="U236:U260" si="14">S236/T236</f>
        <v>0.10401296014365462</v>
      </c>
    </row>
    <row r="237" spans="1:26" ht="14.5" x14ac:dyDescent="0.3">
      <c r="A237" s="17">
        <v>2001</v>
      </c>
      <c r="B237" s="18">
        <f t="shared" si="7"/>
        <v>809.44799999999998</v>
      </c>
      <c r="C237" s="18">
        <f t="shared" si="8"/>
        <v>32950.116000000002</v>
      </c>
      <c r="D237" s="18">
        <f t="shared" si="9"/>
        <v>4590.3609999999999</v>
      </c>
      <c r="E237" s="18">
        <f t="shared" si="10"/>
        <v>7368.7680000000009</v>
      </c>
      <c r="F237" s="18">
        <f t="shared" si="11"/>
        <v>9895.9670000000006</v>
      </c>
      <c r="G237" s="18">
        <f t="shared" si="12"/>
        <v>6447.6720000000005</v>
      </c>
      <c r="H237" s="21">
        <v>0.10389026309871824</v>
      </c>
      <c r="K237" s="17">
        <v>2001</v>
      </c>
      <c r="L237" s="18">
        <v>809.44799999999998</v>
      </c>
      <c r="M237" s="18">
        <v>0</v>
      </c>
      <c r="N237" s="18">
        <v>32950.116000000002</v>
      </c>
      <c r="O237" s="18">
        <v>4590.3609999999999</v>
      </c>
      <c r="P237" s="18">
        <v>7368.7680000000009</v>
      </c>
      <c r="Q237" s="18">
        <v>0</v>
      </c>
      <c r="R237" s="18">
        <v>9895.9670000000006</v>
      </c>
      <c r="S237" s="18">
        <v>6447.6720000000005</v>
      </c>
      <c r="T237" s="18">
        <f t="shared" si="13"/>
        <v>62062.332000000002</v>
      </c>
      <c r="U237" s="21">
        <f t="shared" si="14"/>
        <v>0.10389026309871824</v>
      </c>
      <c r="W237" s="23" t="s">
        <v>324</v>
      </c>
    </row>
    <row r="238" spans="1:26" x14ac:dyDescent="0.3">
      <c r="A238" s="17">
        <v>2002</v>
      </c>
      <c r="B238" s="18">
        <f t="shared" si="7"/>
        <v>1425.8380000000002</v>
      </c>
      <c r="C238" s="18">
        <f t="shared" si="8"/>
        <v>32708.212000000003</v>
      </c>
      <c r="D238" s="18">
        <f t="shared" si="9"/>
        <v>4978.8030000000008</v>
      </c>
      <c r="E238" s="18">
        <f t="shared" si="10"/>
        <v>7665.3329999999996</v>
      </c>
      <c r="F238" s="18">
        <f t="shared" si="11"/>
        <v>10350.700000000001</v>
      </c>
      <c r="G238" s="18">
        <f t="shared" si="12"/>
        <v>6723.3030000000008</v>
      </c>
      <c r="H238" s="21">
        <v>0.10529479263428229</v>
      </c>
      <c r="K238" s="17">
        <v>2002</v>
      </c>
      <c r="L238" s="18">
        <v>1425.8380000000002</v>
      </c>
      <c r="M238" s="18">
        <v>0</v>
      </c>
      <c r="N238" s="18">
        <v>32708.212000000003</v>
      </c>
      <c r="O238" s="18">
        <v>4978.8030000000008</v>
      </c>
      <c r="P238" s="18">
        <v>7665.3329999999996</v>
      </c>
      <c r="Q238" s="18">
        <v>0</v>
      </c>
      <c r="R238" s="18">
        <v>10350.700000000001</v>
      </c>
      <c r="S238" s="18">
        <v>6723.3030000000008</v>
      </c>
      <c r="T238" s="18">
        <f t="shared" si="13"/>
        <v>63852.188999999998</v>
      </c>
      <c r="U238" s="21">
        <f t="shared" si="14"/>
        <v>0.10529479263428229</v>
      </c>
      <c r="W238" s="23" t="s">
        <v>323</v>
      </c>
    </row>
    <row r="239" spans="1:26" ht="14.5" x14ac:dyDescent="0.3">
      <c r="A239" s="17">
        <v>2003</v>
      </c>
      <c r="B239" s="18">
        <f t="shared" si="7"/>
        <v>1861.9630000000002</v>
      </c>
      <c r="C239" s="18">
        <f t="shared" si="8"/>
        <v>32391.876</v>
      </c>
      <c r="D239" s="18">
        <f t="shared" si="9"/>
        <v>5114.8740000000007</v>
      </c>
      <c r="E239" s="18">
        <f t="shared" si="10"/>
        <v>7909.5630000000001</v>
      </c>
      <c r="F239" s="18">
        <f t="shared" si="11"/>
        <v>10728.675000000001</v>
      </c>
      <c r="G239" s="18">
        <f t="shared" si="12"/>
        <v>7180.3620000000001</v>
      </c>
      <c r="H239" s="21">
        <v>0.11014968510820501</v>
      </c>
      <c r="K239" s="17">
        <v>2003</v>
      </c>
      <c r="L239" s="18">
        <v>1861.9630000000002</v>
      </c>
      <c r="M239" s="18">
        <v>0</v>
      </c>
      <c r="N239" s="18">
        <v>32391.876</v>
      </c>
      <c r="O239" s="18">
        <v>5114.8740000000007</v>
      </c>
      <c r="P239" s="18">
        <v>7909.5630000000001</v>
      </c>
      <c r="Q239" s="18">
        <v>0</v>
      </c>
      <c r="R239" s="18">
        <v>10728.675000000001</v>
      </c>
      <c r="S239" s="18">
        <v>7180.3620000000001</v>
      </c>
      <c r="T239" s="18">
        <f t="shared" si="13"/>
        <v>65187.313000000009</v>
      </c>
      <c r="U239" s="21">
        <f t="shared" si="14"/>
        <v>0.11014968510820501</v>
      </c>
      <c r="W239" s="23" t="s">
        <v>322</v>
      </c>
    </row>
    <row r="240" spans="1:26" ht="14.5" x14ac:dyDescent="0.3">
      <c r="A240" s="17">
        <v>2004</v>
      </c>
      <c r="B240" s="18">
        <f t="shared" si="7"/>
        <v>1820.095</v>
      </c>
      <c r="C240" s="18">
        <f t="shared" si="8"/>
        <v>35199.054000000004</v>
      </c>
      <c r="D240" s="18">
        <f t="shared" si="9"/>
        <v>5687.0700000000006</v>
      </c>
      <c r="E240" s="18">
        <f t="shared" si="10"/>
        <v>7971.2020000000002</v>
      </c>
      <c r="F240" s="18">
        <f t="shared" si="11"/>
        <v>10415.828000000001</v>
      </c>
      <c r="G240" s="18">
        <f t="shared" si="12"/>
        <v>7651.3770000000004</v>
      </c>
      <c r="H240" s="21">
        <v>0.11130145649494115</v>
      </c>
      <c r="K240" s="17">
        <v>2004</v>
      </c>
      <c r="L240" s="18">
        <v>1820.095</v>
      </c>
      <c r="M240" s="18">
        <v>9</v>
      </c>
      <c r="N240" s="18">
        <v>35190.054000000004</v>
      </c>
      <c r="O240" s="18">
        <v>5687.0700000000006</v>
      </c>
      <c r="P240" s="18">
        <v>7971.2020000000002</v>
      </c>
      <c r="Q240" s="18">
        <v>0</v>
      </c>
      <c r="R240" s="18">
        <v>10415.828000000001</v>
      </c>
      <c r="S240" s="18">
        <v>7651.3770000000004</v>
      </c>
      <c r="T240" s="18">
        <f t="shared" si="13"/>
        <v>68744.626000000004</v>
      </c>
      <c r="U240" s="21">
        <f t="shared" si="14"/>
        <v>0.11130145649494115</v>
      </c>
      <c r="W240" s="23" t="s">
        <v>321</v>
      </c>
    </row>
    <row r="241" spans="1:23" ht="14.5" x14ac:dyDescent="0.3">
      <c r="A241" s="17">
        <v>2005</v>
      </c>
      <c r="B241" s="18">
        <f t="shared" si="7"/>
        <v>2029.4350000000002</v>
      </c>
      <c r="C241" s="18">
        <f t="shared" si="8"/>
        <v>37546.01</v>
      </c>
      <c r="D241" s="18">
        <f t="shared" si="9"/>
        <v>6853.5590000000002</v>
      </c>
      <c r="E241" s="18">
        <f t="shared" si="10"/>
        <v>8118.9030000000002</v>
      </c>
      <c r="F241" s="18">
        <f t="shared" si="11"/>
        <v>10529.802</v>
      </c>
      <c r="G241" s="18">
        <f t="shared" si="12"/>
        <v>7978.18</v>
      </c>
      <c r="H241" s="21">
        <v>0.10920652816913912</v>
      </c>
      <c r="K241" s="17">
        <v>2005</v>
      </c>
      <c r="L241" s="18">
        <v>2029.4350000000002</v>
      </c>
      <c r="M241" s="18">
        <v>16</v>
      </c>
      <c r="N241" s="18">
        <v>37530.01</v>
      </c>
      <c r="O241" s="18">
        <v>6853.5590000000002</v>
      </c>
      <c r="P241" s="18">
        <v>8118.9030000000002</v>
      </c>
      <c r="Q241" s="18">
        <v>0</v>
      </c>
      <c r="R241" s="18">
        <v>10529.802</v>
      </c>
      <c r="S241" s="18">
        <v>7978.18</v>
      </c>
      <c r="T241" s="18">
        <f t="shared" si="13"/>
        <v>73055.888999999996</v>
      </c>
      <c r="U241" s="21">
        <f t="shared" si="14"/>
        <v>0.10920652816913912</v>
      </c>
      <c r="W241" s="23" t="s">
        <v>320</v>
      </c>
    </row>
    <row r="242" spans="1:23" ht="14.5" x14ac:dyDescent="0.3">
      <c r="A242" s="17">
        <v>2006</v>
      </c>
      <c r="B242" s="18">
        <f t="shared" si="7"/>
        <v>2791.2000000000003</v>
      </c>
      <c r="C242" s="18">
        <f t="shared" si="8"/>
        <v>39146.298000000003</v>
      </c>
      <c r="D242" s="18">
        <f t="shared" si="9"/>
        <v>7138.4939999999997</v>
      </c>
      <c r="E242" s="18">
        <f t="shared" si="10"/>
        <v>8403.8379999999997</v>
      </c>
      <c r="F242" s="18">
        <f t="shared" si="11"/>
        <v>10981.046000000002</v>
      </c>
      <c r="G242" s="18">
        <f t="shared" si="12"/>
        <v>8432.9130000000005</v>
      </c>
      <c r="H242" s="21">
        <v>0.1096696249420093</v>
      </c>
      <c r="K242" s="17">
        <v>2006</v>
      </c>
      <c r="L242" s="18">
        <v>2791.2000000000003</v>
      </c>
      <c r="M242" s="18">
        <v>16</v>
      </c>
      <c r="N242" s="18">
        <v>39130.298000000003</v>
      </c>
      <c r="O242" s="18">
        <v>7138.4939999999997</v>
      </c>
      <c r="P242" s="18">
        <v>8403.8379999999997</v>
      </c>
      <c r="Q242" s="18">
        <v>0</v>
      </c>
      <c r="R242" s="18">
        <v>10981.046000000002</v>
      </c>
      <c r="S242" s="18">
        <v>8432.9130000000005</v>
      </c>
      <c r="T242" s="18">
        <f t="shared" si="13"/>
        <v>76893.789000000004</v>
      </c>
      <c r="U242" s="21">
        <f t="shared" si="14"/>
        <v>0.1096696249420093</v>
      </c>
      <c r="W242" s="23" t="s">
        <v>319</v>
      </c>
    </row>
    <row r="243" spans="1:23" ht="14.5" x14ac:dyDescent="0.3">
      <c r="A243" s="17">
        <v>2007</v>
      </c>
      <c r="B243" s="18">
        <f t="shared" si="7"/>
        <v>2687.6930000000002</v>
      </c>
      <c r="C243" s="18">
        <f t="shared" si="8"/>
        <v>44606.745999999999</v>
      </c>
      <c r="D243" s="18">
        <f t="shared" si="9"/>
        <v>7530.4250000000002</v>
      </c>
      <c r="E243" s="18">
        <f t="shared" si="10"/>
        <v>8546.8870000000006</v>
      </c>
      <c r="F243" s="18">
        <f t="shared" si="11"/>
        <v>10701.926000000001</v>
      </c>
      <c r="G243" s="18">
        <f t="shared" si="12"/>
        <v>8859.7340000000004</v>
      </c>
      <c r="H243" s="21">
        <v>0.10682948998685222</v>
      </c>
      <c r="K243" s="17">
        <v>2007</v>
      </c>
      <c r="L243" s="18">
        <v>2687.6930000000002</v>
      </c>
      <c r="M243" s="18">
        <v>15</v>
      </c>
      <c r="N243" s="18">
        <v>44591.745999999999</v>
      </c>
      <c r="O243" s="18">
        <v>7530.4250000000002</v>
      </c>
      <c r="P243" s="18">
        <v>8546.8870000000006</v>
      </c>
      <c r="Q243" s="18">
        <v>0</v>
      </c>
      <c r="R243" s="18">
        <v>10701.926000000001</v>
      </c>
      <c r="S243" s="18">
        <v>8859.7340000000004</v>
      </c>
      <c r="T243" s="18">
        <f t="shared" si="13"/>
        <v>82933.411000000007</v>
      </c>
      <c r="U243" s="21">
        <f t="shared" si="14"/>
        <v>0.10682948998685222</v>
      </c>
      <c r="W243" s="23" t="s">
        <v>318</v>
      </c>
    </row>
    <row r="244" spans="1:23" x14ac:dyDescent="0.3">
      <c r="A244" s="17">
        <v>2008</v>
      </c>
      <c r="B244" s="18">
        <f t="shared" si="7"/>
        <v>2369.0309999999999</v>
      </c>
      <c r="C244" s="18">
        <f t="shared" si="8"/>
        <v>44295.41</v>
      </c>
      <c r="D244" s="18">
        <f t="shared" si="9"/>
        <v>7242.0010000000011</v>
      </c>
      <c r="E244" s="18">
        <f t="shared" si="10"/>
        <v>8808.5620000000017</v>
      </c>
      <c r="F244" s="18">
        <f t="shared" si="11"/>
        <v>10033.201000000001</v>
      </c>
      <c r="G244" s="18">
        <f t="shared" si="12"/>
        <v>9044.6510000000017</v>
      </c>
      <c r="H244" s="21">
        <v>0.11057996312049551</v>
      </c>
      <c r="K244" s="17">
        <v>2008</v>
      </c>
      <c r="L244" s="18">
        <v>2369.0309999999999</v>
      </c>
      <c r="M244" s="18">
        <v>20</v>
      </c>
      <c r="N244" s="18">
        <v>44275.41</v>
      </c>
      <c r="O244" s="18">
        <v>7242.0010000000011</v>
      </c>
      <c r="P244" s="18">
        <v>8808.5620000000017</v>
      </c>
      <c r="Q244" s="18">
        <v>0</v>
      </c>
      <c r="R244" s="18">
        <v>10033.201000000001</v>
      </c>
      <c r="S244" s="18">
        <v>9044.6510000000017</v>
      </c>
      <c r="T244" s="18">
        <f t="shared" si="13"/>
        <v>81792.856000000014</v>
      </c>
      <c r="U244" s="21">
        <f t="shared" si="14"/>
        <v>0.11057996312049551</v>
      </c>
    </row>
    <row r="245" spans="1:23" x14ac:dyDescent="0.3">
      <c r="A245" s="17">
        <v>2009</v>
      </c>
      <c r="B245" s="18">
        <f t="shared" si="7"/>
        <v>1872.43</v>
      </c>
      <c r="C245" s="18">
        <f t="shared" si="8"/>
        <v>36283.318000000007</v>
      </c>
      <c r="D245" s="18">
        <f t="shared" si="9"/>
        <v>6670.9680000000008</v>
      </c>
      <c r="E245" s="18">
        <f t="shared" si="10"/>
        <v>8649.2310000000016</v>
      </c>
      <c r="F245" s="18">
        <f t="shared" si="11"/>
        <v>10297.202000000001</v>
      </c>
      <c r="G245" s="18">
        <f t="shared" si="12"/>
        <v>8372.4369999999999</v>
      </c>
      <c r="H245" s="21">
        <v>0.11604919253133517</v>
      </c>
      <c r="K245" s="17">
        <v>2009</v>
      </c>
      <c r="L245" s="18">
        <v>1872.43</v>
      </c>
      <c r="M245" s="18">
        <v>14</v>
      </c>
      <c r="N245" s="18">
        <v>36269.318000000007</v>
      </c>
      <c r="O245" s="18">
        <v>6670.9680000000008</v>
      </c>
      <c r="P245" s="18">
        <v>8649.2310000000016</v>
      </c>
      <c r="Q245" s="18">
        <v>0</v>
      </c>
      <c r="R245" s="18">
        <v>10297.202000000001</v>
      </c>
      <c r="S245" s="18">
        <v>8372.4369999999999</v>
      </c>
      <c r="T245" s="18">
        <f t="shared" si="13"/>
        <v>72145.58600000001</v>
      </c>
      <c r="U245" s="21">
        <f t="shared" si="14"/>
        <v>0.11604919253133517</v>
      </c>
    </row>
    <row r="246" spans="1:23" x14ac:dyDescent="0.3">
      <c r="A246" s="17">
        <v>2010</v>
      </c>
      <c r="B246" s="18">
        <f t="shared" si="7"/>
        <v>2335.3040000000001</v>
      </c>
      <c r="C246" s="18">
        <f t="shared" si="8"/>
        <v>37522.054000000004</v>
      </c>
      <c r="D246" s="18">
        <f t="shared" si="9"/>
        <v>7202.4589999999998</v>
      </c>
      <c r="E246" s="18">
        <f t="shared" si="10"/>
        <v>8570.1470000000008</v>
      </c>
      <c r="F246" s="18">
        <f t="shared" si="11"/>
        <v>10719.371000000001</v>
      </c>
      <c r="G246" s="18">
        <f t="shared" si="12"/>
        <v>8332.8950000000004</v>
      </c>
      <c r="H246" s="21">
        <v>0.11157801527886888</v>
      </c>
      <c r="K246" s="17">
        <v>2010</v>
      </c>
      <c r="L246" s="18">
        <v>2335.3040000000001</v>
      </c>
      <c r="M246" s="18">
        <v>6</v>
      </c>
      <c r="N246" s="18">
        <v>37516.054000000004</v>
      </c>
      <c r="O246" s="18">
        <v>7202.4589999999998</v>
      </c>
      <c r="P246" s="18">
        <v>8570.1470000000008</v>
      </c>
      <c r="Q246" s="18">
        <v>0</v>
      </c>
      <c r="R246" s="18">
        <v>10719.371000000001</v>
      </c>
      <c r="S246" s="18">
        <v>8332.8950000000004</v>
      </c>
      <c r="T246" s="18">
        <f t="shared" si="13"/>
        <v>74682.23000000001</v>
      </c>
      <c r="U246" s="21">
        <f t="shared" si="14"/>
        <v>0.11157801527886888</v>
      </c>
    </row>
    <row r="247" spans="1:23" x14ac:dyDescent="0.3">
      <c r="A247" s="17">
        <v>2011</v>
      </c>
      <c r="B247" s="18">
        <f t="shared" si="7"/>
        <v>2707.4640000000004</v>
      </c>
      <c r="C247" s="18">
        <f t="shared" si="8"/>
        <v>37581.182000000001</v>
      </c>
      <c r="D247" s="18">
        <f t="shared" si="9"/>
        <v>7023.357</v>
      </c>
      <c r="E247" s="18">
        <f t="shared" si="10"/>
        <v>8443.380000000001</v>
      </c>
      <c r="F247" s="18">
        <f t="shared" si="11"/>
        <v>10108.796000000002</v>
      </c>
      <c r="G247" s="18">
        <f t="shared" si="12"/>
        <v>8580.6139999999996</v>
      </c>
      <c r="H247" s="21">
        <v>0.11526143944009622</v>
      </c>
      <c r="K247" s="17">
        <v>2011</v>
      </c>
      <c r="L247" s="18">
        <v>2707.4640000000004</v>
      </c>
      <c r="M247" s="18">
        <v>0</v>
      </c>
      <c r="N247" s="18">
        <v>37581.182000000001</v>
      </c>
      <c r="O247" s="18">
        <v>7023.357</v>
      </c>
      <c r="P247" s="18">
        <v>8443.380000000001</v>
      </c>
      <c r="Q247" s="18">
        <v>0</v>
      </c>
      <c r="R247" s="18">
        <v>10108.796000000002</v>
      </c>
      <c r="S247" s="18">
        <v>8580.6139999999996</v>
      </c>
      <c r="T247" s="18">
        <f t="shared" si="13"/>
        <v>74444.793000000005</v>
      </c>
      <c r="U247" s="21">
        <f t="shared" si="14"/>
        <v>0.11526143944009622</v>
      </c>
    </row>
    <row r="248" spans="1:23" x14ac:dyDescent="0.3">
      <c r="A248" s="17">
        <v>2012</v>
      </c>
      <c r="B248" s="18">
        <f t="shared" si="7"/>
        <v>2646.9879999999998</v>
      </c>
      <c r="C248" s="18">
        <f t="shared" si="8"/>
        <v>37946.364000000001</v>
      </c>
      <c r="D248" s="18">
        <f t="shared" si="9"/>
        <v>7188.5030000000006</v>
      </c>
      <c r="E248" s="18">
        <f t="shared" si="10"/>
        <v>8774.8349999999991</v>
      </c>
      <c r="F248" s="18">
        <f t="shared" si="11"/>
        <v>10526.313</v>
      </c>
      <c r="G248" s="18">
        <f t="shared" si="12"/>
        <v>8922.5360000000019</v>
      </c>
      <c r="H248" s="21">
        <v>0.11739323366945666</v>
      </c>
      <c r="K248" s="17">
        <v>2012</v>
      </c>
      <c r="L248" s="18">
        <v>2646.9879999999998</v>
      </c>
      <c r="M248" s="18">
        <v>0</v>
      </c>
      <c r="N248" s="18">
        <v>37946.364000000001</v>
      </c>
      <c r="O248" s="18">
        <v>7188.5030000000006</v>
      </c>
      <c r="P248" s="18">
        <v>8774.8349999999991</v>
      </c>
      <c r="Q248" s="18">
        <v>0</v>
      </c>
      <c r="R248" s="18">
        <v>10526.313</v>
      </c>
      <c r="S248" s="18">
        <v>8922.5360000000019</v>
      </c>
      <c r="T248" s="18">
        <f t="shared" si="13"/>
        <v>76005.539000000004</v>
      </c>
      <c r="U248" s="21">
        <f t="shared" si="14"/>
        <v>0.11739323366945666</v>
      </c>
    </row>
    <row r="249" spans="1:23" x14ac:dyDescent="0.3">
      <c r="A249" s="17">
        <v>2013</v>
      </c>
      <c r="B249" s="18">
        <f t="shared" si="7"/>
        <v>2971.4650000000001</v>
      </c>
      <c r="C249" s="18">
        <f t="shared" si="8"/>
        <v>37771.914000000004</v>
      </c>
      <c r="D249" s="18">
        <f t="shared" si="9"/>
        <v>6418.5969999999998</v>
      </c>
      <c r="E249" s="18">
        <f t="shared" si="10"/>
        <v>8529.4420000000009</v>
      </c>
      <c r="F249" s="18">
        <f t="shared" si="11"/>
        <v>9859.9140000000007</v>
      </c>
      <c r="G249" s="18">
        <f t="shared" si="12"/>
        <v>8958.5889999999999</v>
      </c>
      <c r="H249" s="21">
        <v>0.12023350554887852</v>
      </c>
      <c r="K249" s="17">
        <v>2013</v>
      </c>
      <c r="L249" s="18">
        <v>2971.4650000000001</v>
      </c>
      <c r="M249" s="18">
        <v>0</v>
      </c>
      <c r="N249" s="18">
        <v>37771.914000000004</v>
      </c>
      <c r="O249" s="18">
        <v>6418.5969999999998</v>
      </c>
      <c r="P249" s="18">
        <v>8529.4420000000009</v>
      </c>
      <c r="Q249" s="18">
        <v>0</v>
      </c>
      <c r="R249" s="18">
        <v>9859.9140000000007</v>
      </c>
      <c r="S249" s="18">
        <v>8958.5889999999999</v>
      </c>
      <c r="T249" s="18">
        <f t="shared" si="13"/>
        <v>74509.921000000002</v>
      </c>
      <c r="U249" s="21">
        <f t="shared" si="14"/>
        <v>0.12023350554887852</v>
      </c>
    </row>
    <row r="250" spans="1:23" x14ac:dyDescent="0.3">
      <c r="A250" s="17">
        <v>2014</v>
      </c>
      <c r="B250" s="18">
        <f t="shared" si="7"/>
        <v>2580.6970000000001</v>
      </c>
      <c r="C250" s="18">
        <f t="shared" si="8"/>
        <v>41786.589999999997</v>
      </c>
      <c r="D250" s="18">
        <f t="shared" si="9"/>
        <v>6077.8380000000006</v>
      </c>
      <c r="E250" s="18">
        <f t="shared" si="10"/>
        <v>8200.3130000000001</v>
      </c>
      <c r="F250" s="18">
        <f t="shared" si="11"/>
        <v>9764.5480000000007</v>
      </c>
      <c r="G250" s="18">
        <f t="shared" si="12"/>
        <v>9238.8720000000012</v>
      </c>
      <c r="H250" s="21">
        <v>0.11898271575352724</v>
      </c>
      <c r="K250" s="17">
        <v>2014</v>
      </c>
      <c r="L250" s="18">
        <v>2580.6970000000001</v>
      </c>
      <c r="M250" s="18">
        <v>0</v>
      </c>
      <c r="N250" s="18">
        <v>41786.589999999997</v>
      </c>
      <c r="O250" s="18">
        <v>6077.8380000000006</v>
      </c>
      <c r="P250" s="18">
        <v>8200.3130000000001</v>
      </c>
      <c r="Q250" s="18">
        <v>0</v>
      </c>
      <c r="R250" s="18">
        <v>9764.5480000000007</v>
      </c>
      <c r="S250" s="18">
        <v>9238.8720000000012</v>
      </c>
      <c r="T250" s="18">
        <f t="shared" si="13"/>
        <v>77648.858000000007</v>
      </c>
      <c r="U250" s="21">
        <f t="shared" si="14"/>
        <v>0.11898271575352724</v>
      </c>
    </row>
    <row r="251" spans="1:23" x14ac:dyDescent="0.3">
      <c r="A251" s="17">
        <v>2015</v>
      </c>
      <c r="B251" s="18">
        <f t="shared" si="7"/>
        <v>2078.2810000000004</v>
      </c>
      <c r="C251" s="18">
        <f t="shared" si="8"/>
        <v>43454.332000000002</v>
      </c>
      <c r="D251" s="18">
        <f t="shared" si="9"/>
        <v>6037.1330000000007</v>
      </c>
      <c r="E251" s="18">
        <f t="shared" si="10"/>
        <v>8086.3389999999999</v>
      </c>
      <c r="F251" s="18">
        <f t="shared" si="11"/>
        <v>9285.3919999999998</v>
      </c>
      <c r="G251" s="18">
        <f t="shared" si="12"/>
        <v>9343.5419999999995</v>
      </c>
      <c r="H251" s="21">
        <v>0.11935287388765911</v>
      </c>
      <c r="K251" s="17">
        <v>2015</v>
      </c>
      <c r="L251" s="18">
        <v>2078.2810000000004</v>
      </c>
      <c r="M251" s="18">
        <v>0</v>
      </c>
      <c r="N251" s="18">
        <v>43454.332000000002</v>
      </c>
      <c r="O251" s="18">
        <v>6037.1330000000007</v>
      </c>
      <c r="P251" s="18">
        <v>8086.3389999999999</v>
      </c>
      <c r="Q251" s="18">
        <v>0</v>
      </c>
      <c r="R251" s="18">
        <v>9285.3919999999998</v>
      </c>
      <c r="S251" s="18">
        <v>9343.5419999999995</v>
      </c>
      <c r="T251" s="18">
        <f t="shared" si="13"/>
        <v>78285.019000000015</v>
      </c>
      <c r="U251" s="21">
        <f t="shared" si="14"/>
        <v>0.11935287388765911</v>
      </c>
    </row>
    <row r="252" spans="1:23" x14ac:dyDescent="0.3">
      <c r="A252" s="17">
        <v>2016</v>
      </c>
      <c r="B252" s="18">
        <f t="shared" si="7"/>
        <v>2096.8890000000001</v>
      </c>
      <c r="C252" s="18">
        <f t="shared" si="8"/>
        <v>46743.296000000002</v>
      </c>
      <c r="D252" s="18">
        <f t="shared" si="9"/>
        <v>6412.7820000000002</v>
      </c>
      <c r="E252" s="18">
        <f t="shared" si="10"/>
        <v>7987.4840000000004</v>
      </c>
      <c r="F252" s="18">
        <f t="shared" si="11"/>
        <v>9698.2569999999996</v>
      </c>
      <c r="G252" s="18">
        <f t="shared" si="12"/>
        <v>9751.755000000001</v>
      </c>
      <c r="H252" s="21">
        <v>0.11793083079000297</v>
      </c>
      <c r="K252" s="17">
        <v>2016</v>
      </c>
      <c r="L252" s="18">
        <v>2096.8890000000001</v>
      </c>
      <c r="M252" s="18">
        <v>0</v>
      </c>
      <c r="N252" s="18">
        <v>46743.296000000002</v>
      </c>
      <c r="O252" s="18">
        <v>6412.7820000000002</v>
      </c>
      <c r="P252" s="18">
        <v>7987.4840000000004</v>
      </c>
      <c r="Q252" s="18">
        <v>0</v>
      </c>
      <c r="R252" s="18">
        <v>9698.2569999999996</v>
      </c>
      <c r="S252" s="18">
        <v>9751.755000000001</v>
      </c>
      <c r="T252" s="18">
        <f t="shared" si="13"/>
        <v>82690.463000000003</v>
      </c>
      <c r="U252" s="21">
        <f t="shared" si="14"/>
        <v>0.11793083079000297</v>
      </c>
    </row>
    <row r="253" spans="1:23" x14ac:dyDescent="0.3">
      <c r="A253" s="17">
        <v>2017</v>
      </c>
      <c r="B253" s="18">
        <f t="shared" si="7"/>
        <v>2181.788</v>
      </c>
      <c r="C253" s="18">
        <f t="shared" si="8"/>
        <v>49106.512000000002</v>
      </c>
      <c r="D253" s="18">
        <f t="shared" si="9"/>
        <v>6627.9369999999999</v>
      </c>
      <c r="E253" s="18">
        <f t="shared" si="10"/>
        <v>8047.96</v>
      </c>
      <c r="F253" s="18">
        <f t="shared" si="11"/>
        <v>10708.904</v>
      </c>
      <c r="G253" s="18">
        <f t="shared" si="12"/>
        <v>10061.113000000001</v>
      </c>
      <c r="H253" s="21">
        <v>0.1159993563785567</v>
      </c>
      <c r="K253" s="17">
        <v>2017</v>
      </c>
      <c r="L253" s="18">
        <v>2181.788</v>
      </c>
      <c r="M253" s="18">
        <v>0</v>
      </c>
      <c r="N253" s="18">
        <v>49106.512000000002</v>
      </c>
      <c r="O253" s="18">
        <v>6627.9369999999999</v>
      </c>
      <c r="P253" s="18">
        <v>8047.96</v>
      </c>
      <c r="Q253" s="18">
        <v>0</v>
      </c>
      <c r="R253" s="18">
        <v>10708.904</v>
      </c>
      <c r="S253" s="18">
        <v>10061.113000000001</v>
      </c>
      <c r="T253" s="18">
        <f t="shared" si="13"/>
        <v>86734.213999999993</v>
      </c>
      <c r="U253" s="21">
        <f t="shared" si="14"/>
        <v>0.1159993563785567</v>
      </c>
    </row>
    <row r="254" spans="1:23" x14ac:dyDescent="0.3">
      <c r="A254" s="17">
        <v>2018</v>
      </c>
      <c r="B254" s="18">
        <f t="shared" si="7"/>
        <v>2341.1190000000001</v>
      </c>
      <c r="C254" s="18">
        <f t="shared" si="8"/>
        <v>52286.154000000002</v>
      </c>
      <c r="D254" s="18">
        <f t="shared" si="9"/>
        <v>6945.4360000000006</v>
      </c>
      <c r="E254" s="18">
        <f t="shared" si="10"/>
        <v>8363.34</v>
      </c>
      <c r="F254" s="18">
        <f t="shared" si="11"/>
        <v>10870.561000000002</v>
      </c>
      <c r="G254" s="18">
        <f t="shared" si="12"/>
        <v>10400.709000000001</v>
      </c>
      <c r="H254" s="21">
        <v>0.1140337103867728</v>
      </c>
      <c r="K254" s="17">
        <v>2018</v>
      </c>
      <c r="L254" s="18">
        <v>2341.1190000000001</v>
      </c>
      <c r="M254" s="18">
        <v>0</v>
      </c>
      <c r="N254" s="18">
        <v>52286.154000000002</v>
      </c>
      <c r="O254" s="18">
        <v>6945.4360000000006</v>
      </c>
      <c r="P254" s="18">
        <v>8350.34</v>
      </c>
      <c r="Q254" s="18">
        <v>13</v>
      </c>
      <c r="R254" s="18">
        <v>10870.561000000002</v>
      </c>
      <c r="S254" s="18">
        <v>10400.709000000001</v>
      </c>
      <c r="T254" s="18">
        <f t="shared" si="13"/>
        <v>91207.319000000003</v>
      </c>
      <c r="U254" s="21">
        <f t="shared" si="14"/>
        <v>0.1140337103867728</v>
      </c>
    </row>
    <row r="255" spans="1:23" x14ac:dyDescent="0.3">
      <c r="A255" s="17">
        <v>2019</v>
      </c>
      <c r="B255" s="18">
        <f t="shared" si="7"/>
        <v>2231.797</v>
      </c>
      <c r="C255" s="18">
        <f t="shared" si="8"/>
        <v>54244.645999999993</v>
      </c>
      <c r="D255" s="18">
        <f t="shared" si="9"/>
        <v>6794.246000000001</v>
      </c>
      <c r="E255" s="18">
        <f t="shared" si="10"/>
        <v>8125.4800000000014</v>
      </c>
      <c r="F255" s="18">
        <f t="shared" si="11"/>
        <v>10137.871000000001</v>
      </c>
      <c r="G255" s="18">
        <f t="shared" si="12"/>
        <v>10542.595000000001</v>
      </c>
      <c r="H255" s="21">
        <v>0.11449804828336746</v>
      </c>
      <c r="K255" s="17">
        <v>2019</v>
      </c>
      <c r="L255" s="18">
        <v>2231.797</v>
      </c>
      <c r="M255" s="18">
        <v>0</v>
      </c>
      <c r="N255" s="18">
        <v>54244.645999999993</v>
      </c>
      <c r="O255" s="18">
        <v>6794.246000000001</v>
      </c>
      <c r="P255" s="18">
        <v>8094.4800000000014</v>
      </c>
      <c r="Q255" s="18">
        <v>31</v>
      </c>
      <c r="R255" s="18">
        <v>10137.871000000001</v>
      </c>
      <c r="S255" s="18">
        <v>10542.595000000001</v>
      </c>
      <c r="T255" s="18">
        <f t="shared" si="13"/>
        <v>92076.634999999995</v>
      </c>
      <c r="U255" s="21">
        <f t="shared" si="14"/>
        <v>0.11449804828336746</v>
      </c>
    </row>
    <row r="256" spans="1:23" x14ac:dyDescent="0.3">
      <c r="A256" s="17">
        <v>2020</v>
      </c>
      <c r="B256" s="18">
        <f t="shared" si="7"/>
        <v>1747.9890000000003</v>
      </c>
      <c r="C256" s="18">
        <f t="shared" si="8"/>
        <v>51248.758000000009</v>
      </c>
      <c r="D256" s="18">
        <f t="shared" si="9"/>
        <v>6780.2900000000009</v>
      </c>
      <c r="E256" s="18">
        <f t="shared" si="10"/>
        <v>8662.4380000000001</v>
      </c>
      <c r="F256" s="18">
        <f t="shared" si="11"/>
        <v>8926.0250000000015</v>
      </c>
      <c r="G256" s="18">
        <f t="shared" si="12"/>
        <v>10355.352000000001</v>
      </c>
      <c r="H256" s="21">
        <v>0.11804892182305754</v>
      </c>
      <c r="K256" s="17">
        <v>2020</v>
      </c>
      <c r="L256" s="18">
        <v>1747.9890000000003</v>
      </c>
      <c r="M256" s="18">
        <v>0</v>
      </c>
      <c r="N256" s="18">
        <v>51248.758000000009</v>
      </c>
      <c r="O256" s="18">
        <v>6780.2900000000009</v>
      </c>
      <c r="P256" s="18">
        <v>8636.4380000000001</v>
      </c>
      <c r="Q256" s="18">
        <v>26</v>
      </c>
      <c r="R256" s="18">
        <v>8926.0250000000015</v>
      </c>
      <c r="S256" s="18">
        <v>10355.352000000001</v>
      </c>
      <c r="T256" s="18">
        <f t="shared" si="13"/>
        <v>87720.851999999999</v>
      </c>
      <c r="U256" s="21">
        <f t="shared" si="14"/>
        <v>0.11804892182305754</v>
      </c>
    </row>
    <row r="257" spans="1:21" x14ac:dyDescent="0.3">
      <c r="A257" s="17">
        <v>2021</v>
      </c>
      <c r="B257" s="18">
        <f t="shared" si="7"/>
        <v>2089.9110000000001</v>
      </c>
      <c r="C257" s="18">
        <f t="shared" si="8"/>
        <v>51267.366000000002</v>
      </c>
      <c r="D257" s="18">
        <f t="shared" si="9"/>
        <v>7537.4030000000012</v>
      </c>
      <c r="E257" s="18">
        <f t="shared" si="10"/>
        <v>9046.2720000000008</v>
      </c>
      <c r="F257" s="18">
        <f t="shared" si="11"/>
        <v>11125.258000000002</v>
      </c>
      <c r="G257" s="18">
        <f t="shared" si="12"/>
        <v>11156.659</v>
      </c>
      <c r="H257" s="21">
        <v>0.12097497205384056</v>
      </c>
      <c r="K257" s="17">
        <v>2021</v>
      </c>
      <c r="L257" s="18">
        <v>2089.9110000000001</v>
      </c>
      <c r="M257" s="18">
        <v>0</v>
      </c>
      <c r="N257" s="18">
        <v>51267.366000000002</v>
      </c>
      <c r="O257" s="18">
        <v>7537.4030000000012</v>
      </c>
      <c r="P257" s="18">
        <v>9006.2720000000008</v>
      </c>
      <c r="Q257" s="18">
        <v>40</v>
      </c>
      <c r="R257" s="18">
        <v>11125.258000000002</v>
      </c>
      <c r="S257" s="18">
        <v>11156.659</v>
      </c>
      <c r="T257" s="18">
        <f t="shared" si="13"/>
        <v>92222.869000000006</v>
      </c>
      <c r="U257" s="21">
        <f t="shared" si="14"/>
        <v>0.12097497205384056</v>
      </c>
    </row>
    <row r="258" spans="1:21" x14ac:dyDescent="0.3">
      <c r="A258" s="17">
        <v>2022</v>
      </c>
      <c r="B258" s="18">
        <f t="shared" si="7"/>
        <v>2075.9550000000004</v>
      </c>
      <c r="C258" s="18">
        <f t="shared" si="8"/>
        <v>51953.536</v>
      </c>
      <c r="D258" s="18">
        <f t="shared" si="9"/>
        <v>6814.0169999999998</v>
      </c>
      <c r="E258" s="18">
        <f t="shared" si="10"/>
        <v>8644.8739999999998</v>
      </c>
      <c r="F258" s="18">
        <f t="shared" si="11"/>
        <v>9541.2520000000004</v>
      </c>
      <c r="G258" s="18">
        <f t="shared" si="12"/>
        <v>10664.710000000001</v>
      </c>
      <c r="H258" s="21">
        <v>0.11890058530334979</v>
      </c>
      <c r="K258" s="17">
        <v>2022</v>
      </c>
      <c r="L258" s="18">
        <v>2075.9550000000004</v>
      </c>
      <c r="M258" s="18">
        <v>0</v>
      </c>
      <c r="N258" s="18">
        <v>51953.536</v>
      </c>
      <c r="O258" s="18">
        <v>6814.0169999999998</v>
      </c>
      <c r="P258" s="18">
        <v>8603.8739999999998</v>
      </c>
      <c r="Q258" s="18">
        <v>41</v>
      </c>
      <c r="R258" s="18">
        <v>9541.2520000000004</v>
      </c>
      <c r="S258" s="18">
        <v>10664.710000000001</v>
      </c>
      <c r="T258" s="18">
        <f t="shared" si="13"/>
        <v>89694.343999999997</v>
      </c>
      <c r="U258" s="21">
        <f t="shared" si="14"/>
        <v>0.11890058530334979</v>
      </c>
    </row>
    <row r="259" spans="1:21" x14ac:dyDescent="0.3">
      <c r="A259" s="17">
        <v>2023</v>
      </c>
      <c r="B259" s="18">
        <f t="shared" si="7"/>
        <v>1335.124</v>
      </c>
      <c r="C259" s="18">
        <f t="shared" si="8"/>
        <v>53518.934000000008</v>
      </c>
      <c r="D259" s="18">
        <f t="shared" si="9"/>
        <v>6659.3380000000006</v>
      </c>
      <c r="E259" s="18">
        <f t="shared" si="10"/>
        <v>8669.0010000000002</v>
      </c>
      <c r="F259" s="18">
        <f t="shared" si="11"/>
        <v>9508.6880000000001</v>
      </c>
      <c r="G259" s="18">
        <f t="shared" si="12"/>
        <v>10220.444</v>
      </c>
      <c r="H259" s="21">
        <v>0.11367222995395838</v>
      </c>
      <c r="K259" s="17">
        <v>2023</v>
      </c>
      <c r="L259" s="18">
        <v>1335.124</v>
      </c>
      <c r="M259" s="18">
        <v>0</v>
      </c>
      <c r="N259" s="18">
        <v>53518.934000000008</v>
      </c>
      <c r="O259" s="18">
        <v>6659.3380000000006</v>
      </c>
      <c r="P259" s="18">
        <v>8405.0010000000002</v>
      </c>
      <c r="Q259" s="18">
        <v>264</v>
      </c>
      <c r="R259" s="18">
        <v>9508.6880000000001</v>
      </c>
      <c r="S259" s="18">
        <v>10220.444</v>
      </c>
      <c r="T259" s="18">
        <f t="shared" si="13"/>
        <v>89911.52900000001</v>
      </c>
      <c r="U259" s="21">
        <f t="shared" si="14"/>
        <v>0.11367222995395838</v>
      </c>
    </row>
    <row r="260" spans="1:21" x14ac:dyDescent="0.3">
      <c r="A260" s="17">
        <v>2024</v>
      </c>
      <c r="B260" s="18">
        <f t="shared" si="7"/>
        <v>1135.0880000000002</v>
      </c>
      <c r="C260" s="18">
        <f t="shared" si="8"/>
        <v>55547.206000000006</v>
      </c>
      <c r="D260" s="18">
        <f t="shared" si="9"/>
        <v>6762.8450000000003</v>
      </c>
      <c r="E260" s="18">
        <f t="shared" si="10"/>
        <v>9910.3000000000011</v>
      </c>
      <c r="F260" s="18">
        <f t="shared" si="11"/>
        <v>10406.524000000001</v>
      </c>
      <c r="G260" s="18">
        <f t="shared" si="12"/>
        <v>10818.226000000001</v>
      </c>
      <c r="H260" s="21">
        <v>0.11438152232916345</v>
      </c>
      <c r="K260" s="17">
        <v>2024</v>
      </c>
      <c r="L260" s="18">
        <v>1135.0880000000002</v>
      </c>
      <c r="M260" s="18">
        <v>0</v>
      </c>
      <c r="N260" s="18">
        <v>55547.206000000006</v>
      </c>
      <c r="O260" s="18">
        <v>6762.8450000000003</v>
      </c>
      <c r="P260" s="18">
        <v>9420.3000000000011</v>
      </c>
      <c r="Q260" s="18">
        <v>490</v>
      </c>
      <c r="R260" s="18">
        <v>10406.524000000001</v>
      </c>
      <c r="S260" s="18">
        <v>10818.226000000001</v>
      </c>
      <c r="T260" s="18">
        <f t="shared" si="13"/>
        <v>94580.189000000013</v>
      </c>
      <c r="U260" s="21">
        <f t="shared" si="14"/>
        <v>0.11438152232916345</v>
      </c>
    </row>
    <row r="261" spans="1:21" x14ac:dyDescent="0.3">
      <c r="A261" s="38"/>
      <c r="B261" s="18">
        <f>M261</f>
        <v>0</v>
      </c>
      <c r="C261" s="18">
        <f>N261+O261</f>
        <v>0</v>
      </c>
      <c r="D261" s="18">
        <f>P261</f>
        <v>0</v>
      </c>
    </row>
    <row r="262" spans="1:21" ht="18" customHeight="1" x14ac:dyDescent="0.3">
      <c r="A262" s="10" t="s">
        <v>317</v>
      </c>
    </row>
    <row r="263" spans="1:21" ht="32" customHeight="1" x14ac:dyDescent="0.3">
      <c r="A263" s="11" t="s">
        <v>73</v>
      </c>
      <c r="B263" s="11" t="s">
        <v>316</v>
      </c>
    </row>
    <row r="264" spans="1:21" x14ac:dyDescent="0.3">
      <c r="A264" s="17">
        <v>2000</v>
      </c>
      <c r="B264" s="25">
        <v>2.5169999999999999</v>
      </c>
    </row>
    <row r="265" spans="1:21" x14ac:dyDescent="0.3">
      <c r="A265" s="17">
        <v>2001</v>
      </c>
      <c r="B265" s="25">
        <v>2.6960000000000002</v>
      </c>
    </row>
    <row r="266" spans="1:21" x14ac:dyDescent="0.3">
      <c r="A266" s="17">
        <v>2002</v>
      </c>
      <c r="B266" s="25">
        <v>2.8490000000000002</v>
      </c>
    </row>
    <row r="267" spans="1:21" x14ac:dyDescent="0.3">
      <c r="A267" s="17">
        <v>2003</v>
      </c>
      <c r="B267" s="25">
        <v>3.0880000000000001</v>
      </c>
    </row>
    <row r="268" spans="1:21" x14ac:dyDescent="0.3">
      <c r="A268" s="17">
        <v>2004</v>
      </c>
      <c r="B268" s="25">
        <v>3.1970000000000001</v>
      </c>
    </row>
    <row r="269" spans="1:21" x14ac:dyDescent="0.3">
      <c r="A269" s="17">
        <v>2005</v>
      </c>
      <c r="B269" s="25">
        <v>3.1869999999999998</v>
      </c>
    </row>
    <row r="270" spans="1:21" x14ac:dyDescent="0.3">
      <c r="A270" s="17">
        <v>2006</v>
      </c>
      <c r="B270" s="25">
        <v>3.3530000000000002</v>
      </c>
    </row>
    <row r="271" spans="1:21" x14ac:dyDescent="0.3">
      <c r="A271" s="17">
        <v>2007</v>
      </c>
      <c r="B271" s="25">
        <v>3.5649999999999999</v>
      </c>
    </row>
    <row r="272" spans="1:21" x14ac:dyDescent="0.3">
      <c r="A272" s="17">
        <v>2008</v>
      </c>
      <c r="B272" s="25">
        <v>3.734</v>
      </c>
    </row>
    <row r="273" spans="1:2" x14ac:dyDescent="0.3">
      <c r="A273" s="17">
        <v>2009</v>
      </c>
      <c r="B273" s="25">
        <v>3.6219999999999999</v>
      </c>
    </row>
    <row r="274" spans="1:2" x14ac:dyDescent="0.3">
      <c r="A274" s="17">
        <v>2010</v>
      </c>
      <c r="B274" s="25">
        <v>3.4710000000000001</v>
      </c>
    </row>
    <row r="275" spans="1:2" x14ac:dyDescent="0.3">
      <c r="A275" s="17">
        <v>2011</v>
      </c>
      <c r="B275" s="25">
        <v>3.53</v>
      </c>
    </row>
    <row r="276" spans="1:2" x14ac:dyDescent="0.3">
      <c r="A276" s="17">
        <v>2012</v>
      </c>
      <c r="B276" s="25">
        <v>3.6</v>
      </c>
    </row>
    <row r="277" spans="1:2" x14ac:dyDescent="0.3">
      <c r="A277" s="17">
        <v>2013</v>
      </c>
      <c r="B277" s="25">
        <v>3.7</v>
      </c>
    </row>
    <row r="278" spans="1:2" x14ac:dyDescent="0.3">
      <c r="A278" s="17">
        <v>2014</v>
      </c>
      <c r="B278" s="25">
        <v>3.8149999999999999</v>
      </c>
    </row>
    <row r="279" spans="1:2" x14ac:dyDescent="0.3">
      <c r="A279" s="17">
        <v>2015</v>
      </c>
      <c r="B279" s="25">
        <v>3.8980000000000001</v>
      </c>
    </row>
    <row r="280" spans="1:2" x14ac:dyDescent="0.3">
      <c r="A280" s="17">
        <v>2016</v>
      </c>
      <c r="B280" s="25">
        <v>4.0439999999999996</v>
      </c>
    </row>
    <row r="281" spans="1:2" x14ac:dyDescent="0.3">
      <c r="A281" s="17">
        <v>2017</v>
      </c>
      <c r="B281" s="25">
        <v>4.2030000000000003</v>
      </c>
    </row>
    <row r="282" spans="1:2" x14ac:dyDescent="0.3">
      <c r="A282" s="17">
        <v>2018</v>
      </c>
      <c r="B282" s="25">
        <v>4.3310000000000004</v>
      </c>
    </row>
    <row r="283" spans="1:2" x14ac:dyDescent="0.3">
      <c r="A283" s="17">
        <v>2019</v>
      </c>
      <c r="B283" s="25">
        <v>4.4219999999999997</v>
      </c>
    </row>
    <row r="284" spans="1:2" x14ac:dyDescent="0.3">
      <c r="A284" s="17">
        <v>2020</v>
      </c>
      <c r="B284" s="25">
        <v>4.4390000000000001</v>
      </c>
    </row>
    <row r="285" spans="1:2" x14ac:dyDescent="0.3">
      <c r="A285" s="17">
        <v>2021</v>
      </c>
      <c r="B285" s="25">
        <v>4.6989999999999998</v>
      </c>
    </row>
    <row r="286" spans="1:2" x14ac:dyDescent="0.3">
      <c r="A286" s="17">
        <v>2022</v>
      </c>
      <c r="B286" s="25">
        <v>4.4160000000000004</v>
      </c>
    </row>
    <row r="287" spans="1:2" x14ac:dyDescent="0.3">
      <c r="A287" s="17">
        <v>2023</v>
      </c>
      <c r="B287" s="25">
        <v>4.202</v>
      </c>
    </row>
    <row r="288" spans="1:2" x14ac:dyDescent="0.3">
      <c r="A288" s="17">
        <v>2024</v>
      </c>
      <c r="B288" s="25">
        <v>4.3869999999999996</v>
      </c>
    </row>
    <row r="290" spans="1:11" x14ac:dyDescent="0.3">
      <c r="A290" s="78" t="s">
        <v>315</v>
      </c>
      <c r="B290" s="78"/>
      <c r="C290" s="78"/>
      <c r="D290" s="78"/>
    </row>
    <row r="292" spans="1:11" ht="18" customHeight="1" x14ac:dyDescent="0.3">
      <c r="A292" s="10" t="s">
        <v>641</v>
      </c>
    </row>
    <row r="293" spans="1:11" ht="32" customHeight="1" x14ac:dyDescent="0.3">
      <c r="A293" s="35" t="s">
        <v>640</v>
      </c>
      <c r="B293" s="28">
        <v>2014</v>
      </c>
      <c r="C293" s="28">
        <v>2015</v>
      </c>
      <c r="D293" s="28">
        <v>2016</v>
      </c>
      <c r="E293" s="28">
        <v>2017</v>
      </c>
      <c r="F293" s="28">
        <v>2018</v>
      </c>
      <c r="G293" s="28">
        <v>2019</v>
      </c>
      <c r="H293" s="28">
        <v>2020</v>
      </c>
      <c r="I293" s="28">
        <v>2021</v>
      </c>
      <c r="J293" s="28">
        <v>2022</v>
      </c>
      <c r="K293" s="28">
        <v>2023</v>
      </c>
    </row>
    <row r="294" spans="1:11" x14ac:dyDescent="0.3">
      <c r="A294" s="36" t="s">
        <v>313</v>
      </c>
      <c r="B294" s="18">
        <v>0</v>
      </c>
      <c r="C294" s="18">
        <v>0</v>
      </c>
      <c r="D294" s="18">
        <v>0</v>
      </c>
      <c r="E294" s="18">
        <v>150.52032000000003</v>
      </c>
      <c r="F294" s="18">
        <v>161.32896000000002</v>
      </c>
      <c r="G294" s="18">
        <v>163.23048</v>
      </c>
      <c r="H294" s="18">
        <v>173.63880000000003</v>
      </c>
      <c r="I294" s="18">
        <v>221.87736000000001</v>
      </c>
      <c r="J294" s="18">
        <v>276.52104000000003</v>
      </c>
      <c r="K294" s="18">
        <v>296.13672000000003</v>
      </c>
    </row>
    <row r="295" spans="1:11" x14ac:dyDescent="0.3">
      <c r="A295" s="36" t="s">
        <v>312</v>
      </c>
      <c r="B295" s="18">
        <v>0</v>
      </c>
      <c r="C295" s="18">
        <v>0</v>
      </c>
      <c r="D295" s="18">
        <v>0</v>
      </c>
      <c r="E295" s="18">
        <v>0</v>
      </c>
      <c r="F295" s="18">
        <v>0</v>
      </c>
      <c r="G295" s="18">
        <v>0</v>
      </c>
      <c r="H295" s="18">
        <v>0</v>
      </c>
      <c r="I295" s="18">
        <v>0</v>
      </c>
      <c r="J295" s="18">
        <v>0</v>
      </c>
      <c r="K295" s="18">
        <v>0</v>
      </c>
    </row>
    <row r="296" spans="1:11" x14ac:dyDescent="0.3">
      <c r="A296" s="36" t="s">
        <v>161</v>
      </c>
      <c r="B296" s="18">
        <v>0</v>
      </c>
      <c r="C296" s="18">
        <v>0</v>
      </c>
      <c r="D296" s="18">
        <v>0</v>
      </c>
      <c r="E296" s="18">
        <v>147.71808000000001</v>
      </c>
      <c r="F296" s="18">
        <v>149.31936000000002</v>
      </c>
      <c r="G296" s="18">
        <v>137.00952000000001</v>
      </c>
      <c r="H296" s="18">
        <v>137.1096</v>
      </c>
      <c r="I296" s="18">
        <v>228.68280000000001</v>
      </c>
      <c r="J296" s="18">
        <v>227.08152000000004</v>
      </c>
      <c r="K296" s="18">
        <v>245.69640000000001</v>
      </c>
    </row>
    <row r="297" spans="1:11" x14ac:dyDescent="0.3">
      <c r="A297" s="9" t="s">
        <v>265</v>
      </c>
    </row>
    <row r="299" spans="1:11" ht="18" customHeight="1" x14ac:dyDescent="0.3">
      <c r="A299" s="10" t="s">
        <v>311</v>
      </c>
    </row>
    <row r="300" spans="1:11" ht="32" customHeight="1" x14ac:dyDescent="0.3">
      <c r="A300" s="11" t="s">
        <v>73</v>
      </c>
      <c r="B300" s="11" t="s">
        <v>664</v>
      </c>
      <c r="C300" s="11" t="s">
        <v>220</v>
      </c>
      <c r="D300" s="11" t="s">
        <v>221</v>
      </c>
      <c r="E300" s="11" t="s">
        <v>663</v>
      </c>
    </row>
    <row r="301" spans="1:11" x14ac:dyDescent="0.3">
      <c r="A301" s="17">
        <v>2000</v>
      </c>
      <c r="B301" s="14">
        <v>76</v>
      </c>
      <c r="C301" s="14">
        <v>7</v>
      </c>
      <c r="D301" s="14">
        <v>43</v>
      </c>
      <c r="E301" s="14">
        <v>26</v>
      </c>
    </row>
    <row r="302" spans="1:11" x14ac:dyDescent="0.3">
      <c r="A302" s="17">
        <v>2001</v>
      </c>
      <c r="B302" s="14">
        <v>90</v>
      </c>
      <c r="C302" s="14">
        <v>6</v>
      </c>
      <c r="D302" s="14">
        <v>44</v>
      </c>
      <c r="E302" s="14">
        <v>40</v>
      </c>
    </row>
    <row r="303" spans="1:11" x14ac:dyDescent="0.3">
      <c r="A303" s="17">
        <v>2002</v>
      </c>
      <c r="B303" s="14">
        <v>82</v>
      </c>
      <c r="C303" s="14">
        <v>6</v>
      </c>
      <c r="D303" s="14">
        <v>46</v>
      </c>
      <c r="E303" s="14">
        <v>30</v>
      </c>
    </row>
    <row r="304" spans="1:11" x14ac:dyDescent="0.3">
      <c r="A304" s="17">
        <v>2003</v>
      </c>
      <c r="B304" s="14">
        <v>90</v>
      </c>
      <c r="C304" s="14">
        <v>7</v>
      </c>
      <c r="D304" s="14">
        <v>46</v>
      </c>
      <c r="E304" s="14">
        <v>37</v>
      </c>
    </row>
    <row r="305" spans="1:5" x14ac:dyDescent="0.3">
      <c r="A305" s="17">
        <v>2004</v>
      </c>
      <c r="B305" s="14">
        <v>92</v>
      </c>
      <c r="C305" s="14">
        <v>8</v>
      </c>
      <c r="D305" s="14">
        <v>46</v>
      </c>
      <c r="E305" s="14">
        <v>38</v>
      </c>
    </row>
    <row r="306" spans="1:5" x14ac:dyDescent="0.3">
      <c r="A306" s="17">
        <v>2005</v>
      </c>
      <c r="B306" s="14">
        <v>103</v>
      </c>
      <c r="C306" s="14">
        <v>8</v>
      </c>
      <c r="D306" s="14">
        <v>48</v>
      </c>
      <c r="E306" s="14">
        <v>47</v>
      </c>
    </row>
    <row r="307" spans="1:5" x14ac:dyDescent="0.3">
      <c r="A307" s="17">
        <v>2006</v>
      </c>
      <c r="B307" s="14">
        <v>91</v>
      </c>
      <c r="C307" s="14">
        <v>8</v>
      </c>
      <c r="D307" s="14">
        <v>50</v>
      </c>
      <c r="E307" s="14">
        <v>33</v>
      </c>
    </row>
    <row r="308" spans="1:5" x14ac:dyDescent="0.3">
      <c r="A308" s="17">
        <v>2007</v>
      </c>
      <c r="B308" s="14">
        <v>70</v>
      </c>
      <c r="C308" s="14">
        <v>8</v>
      </c>
      <c r="D308" s="14">
        <v>48</v>
      </c>
      <c r="E308" s="14">
        <v>14</v>
      </c>
    </row>
    <row r="309" spans="1:5" x14ac:dyDescent="0.3">
      <c r="A309" s="17">
        <v>2008</v>
      </c>
      <c r="B309" s="14">
        <v>83</v>
      </c>
      <c r="C309" s="14">
        <v>10</v>
      </c>
      <c r="D309" s="14">
        <v>47</v>
      </c>
      <c r="E309" s="14">
        <v>26</v>
      </c>
    </row>
    <row r="310" spans="1:5" x14ac:dyDescent="0.3">
      <c r="A310" s="17">
        <v>2009</v>
      </c>
      <c r="B310" s="14">
        <v>77</v>
      </c>
      <c r="C310" s="14">
        <v>11</v>
      </c>
      <c r="D310" s="14">
        <v>44</v>
      </c>
      <c r="E310" s="14">
        <v>22</v>
      </c>
    </row>
    <row r="311" spans="1:5" x14ac:dyDescent="0.3">
      <c r="A311" s="17">
        <v>2010</v>
      </c>
      <c r="B311" s="14">
        <v>76</v>
      </c>
      <c r="C311" s="14">
        <v>11</v>
      </c>
      <c r="D311" s="14">
        <v>39</v>
      </c>
      <c r="E311" s="14">
        <v>26</v>
      </c>
    </row>
    <row r="312" spans="1:5" x14ac:dyDescent="0.3">
      <c r="A312" s="17">
        <v>2011</v>
      </c>
      <c r="B312" s="14">
        <v>74</v>
      </c>
      <c r="C312" s="14">
        <v>10</v>
      </c>
      <c r="D312" s="14">
        <v>38</v>
      </c>
      <c r="E312" s="14">
        <v>26</v>
      </c>
    </row>
    <row r="313" spans="1:5" x14ac:dyDescent="0.3">
      <c r="A313" s="17">
        <v>2012</v>
      </c>
      <c r="B313" s="14">
        <v>75</v>
      </c>
      <c r="C313" s="14">
        <v>11</v>
      </c>
      <c r="D313" s="14">
        <v>41</v>
      </c>
      <c r="E313" s="14">
        <v>23</v>
      </c>
    </row>
    <row r="314" spans="1:5" x14ac:dyDescent="0.3">
      <c r="A314" s="17">
        <v>2013</v>
      </c>
      <c r="B314" s="14">
        <v>74</v>
      </c>
      <c r="C314" s="14">
        <v>10</v>
      </c>
      <c r="D314" s="14">
        <v>40</v>
      </c>
      <c r="E314" s="14">
        <v>24</v>
      </c>
    </row>
    <row r="315" spans="1:5" x14ac:dyDescent="0.3">
      <c r="A315" s="17">
        <v>2014</v>
      </c>
      <c r="B315" s="14">
        <v>63</v>
      </c>
      <c r="C315" s="14">
        <v>11</v>
      </c>
      <c r="D315" s="14">
        <v>35</v>
      </c>
      <c r="E315" s="14">
        <v>17</v>
      </c>
    </row>
    <row r="316" spans="1:5" x14ac:dyDescent="0.3">
      <c r="A316" s="17">
        <v>2015</v>
      </c>
      <c r="B316" s="14">
        <v>67</v>
      </c>
      <c r="C316" s="14">
        <v>11</v>
      </c>
      <c r="D316" s="14">
        <v>35</v>
      </c>
      <c r="E316" s="14">
        <v>21</v>
      </c>
    </row>
    <row r="317" spans="1:5" x14ac:dyDescent="0.3">
      <c r="A317" s="17">
        <v>2016</v>
      </c>
      <c r="B317" s="14">
        <v>72</v>
      </c>
      <c r="C317" s="14">
        <v>12</v>
      </c>
      <c r="D317" s="14">
        <v>36</v>
      </c>
      <c r="E317" s="14">
        <v>24</v>
      </c>
    </row>
    <row r="318" spans="1:5" x14ac:dyDescent="0.3">
      <c r="A318" s="17">
        <v>2017</v>
      </c>
      <c r="B318" s="14">
        <v>74</v>
      </c>
      <c r="C318" s="14">
        <v>12</v>
      </c>
      <c r="D318" s="14">
        <v>36</v>
      </c>
      <c r="E318" s="14">
        <v>26</v>
      </c>
    </row>
    <row r="319" spans="1:5" x14ac:dyDescent="0.3">
      <c r="A319" s="17">
        <v>2018</v>
      </c>
      <c r="B319" s="14">
        <v>80</v>
      </c>
      <c r="C319" s="14">
        <v>17</v>
      </c>
      <c r="D319" s="14">
        <v>37</v>
      </c>
      <c r="E319" s="14">
        <v>27</v>
      </c>
    </row>
    <row r="320" spans="1:5" x14ac:dyDescent="0.3">
      <c r="A320" s="17">
        <v>2019</v>
      </c>
      <c r="B320" s="14">
        <v>78</v>
      </c>
      <c r="C320" s="14">
        <v>15</v>
      </c>
      <c r="D320" s="14">
        <v>37</v>
      </c>
      <c r="E320" s="14">
        <v>25</v>
      </c>
    </row>
    <row r="321" spans="1:5" x14ac:dyDescent="0.3">
      <c r="A321" s="17">
        <v>2020</v>
      </c>
      <c r="B321" s="14">
        <v>73</v>
      </c>
      <c r="C321" s="14">
        <v>13</v>
      </c>
      <c r="D321" s="14">
        <v>41</v>
      </c>
      <c r="E321" s="14">
        <v>19</v>
      </c>
    </row>
    <row r="322" spans="1:5" x14ac:dyDescent="0.3">
      <c r="A322" s="17">
        <v>2021</v>
      </c>
      <c r="B322" s="14">
        <v>79</v>
      </c>
      <c r="C322" s="14">
        <v>12</v>
      </c>
      <c r="D322" s="14">
        <v>47</v>
      </c>
      <c r="E322" s="14">
        <v>20</v>
      </c>
    </row>
    <row r="323" spans="1:5" x14ac:dyDescent="0.3">
      <c r="A323" s="17">
        <v>2022</v>
      </c>
      <c r="B323" s="14">
        <v>92</v>
      </c>
      <c r="C323" s="14">
        <v>13</v>
      </c>
      <c r="D323" s="14">
        <v>58</v>
      </c>
      <c r="E323" s="14">
        <v>21</v>
      </c>
    </row>
    <row r="324" spans="1:5" x14ac:dyDescent="0.3">
      <c r="A324" s="17">
        <v>2023</v>
      </c>
      <c r="B324" s="14">
        <v>105</v>
      </c>
      <c r="C324" s="14">
        <v>13</v>
      </c>
      <c r="D324" s="14">
        <v>69</v>
      </c>
      <c r="E324" s="14">
        <v>22</v>
      </c>
    </row>
    <row r="325" spans="1:5" x14ac:dyDescent="0.3">
      <c r="A325" s="9" t="s">
        <v>265</v>
      </c>
    </row>
    <row r="327" spans="1:5" ht="18" customHeight="1" x14ac:dyDescent="0.3">
      <c r="A327" s="10" t="s">
        <v>306</v>
      </c>
    </row>
    <row r="328" spans="1:5" ht="32" customHeight="1" x14ac:dyDescent="0.3">
      <c r="A328" s="22" t="s">
        <v>305</v>
      </c>
      <c r="B328" s="11">
        <v>2020</v>
      </c>
      <c r="C328" s="11">
        <v>2021</v>
      </c>
      <c r="D328" s="11">
        <v>2022</v>
      </c>
      <c r="E328" s="11">
        <v>2023</v>
      </c>
    </row>
    <row r="329" spans="1:5" x14ac:dyDescent="0.3">
      <c r="A329" s="15" t="s">
        <v>241</v>
      </c>
      <c r="B329" s="27">
        <v>0</v>
      </c>
      <c r="C329" s="27">
        <v>0</v>
      </c>
      <c r="D329" s="27">
        <v>3496.8952800000002</v>
      </c>
      <c r="E329" s="27">
        <v>3397.5158400000005</v>
      </c>
    </row>
    <row r="330" spans="1:5" x14ac:dyDescent="0.3">
      <c r="A330" s="23" t="s">
        <v>304</v>
      </c>
      <c r="B330" s="18">
        <v>0</v>
      </c>
      <c r="C330" s="18">
        <v>0</v>
      </c>
      <c r="D330" s="18">
        <v>983</v>
      </c>
      <c r="E330" s="18">
        <v>892</v>
      </c>
    </row>
    <row r="331" spans="1:5" x14ac:dyDescent="0.3">
      <c r="A331" s="23" t="s">
        <v>303</v>
      </c>
      <c r="B331" s="18">
        <v>0</v>
      </c>
      <c r="C331" s="18">
        <v>0</v>
      </c>
      <c r="D331" s="18">
        <v>895</v>
      </c>
      <c r="E331" s="18">
        <v>998</v>
      </c>
    </row>
    <row r="332" spans="1:5" x14ac:dyDescent="0.3">
      <c r="A332" s="23" t="s">
        <v>302</v>
      </c>
      <c r="B332" s="18">
        <v>0</v>
      </c>
      <c r="C332" s="18">
        <v>0</v>
      </c>
      <c r="D332" s="18">
        <v>87</v>
      </c>
      <c r="E332" s="18">
        <v>86</v>
      </c>
    </row>
    <row r="333" spans="1:5" x14ac:dyDescent="0.3">
      <c r="A333" s="23" t="s">
        <v>301</v>
      </c>
      <c r="B333" s="18">
        <v>0</v>
      </c>
      <c r="C333" s="18">
        <v>0</v>
      </c>
      <c r="D333" s="18">
        <v>178</v>
      </c>
      <c r="E333" s="18">
        <v>205</v>
      </c>
    </row>
    <row r="334" spans="1:5" x14ac:dyDescent="0.3">
      <c r="A334" s="23" t="s">
        <v>300</v>
      </c>
      <c r="B334" s="18">
        <v>0</v>
      </c>
      <c r="C334" s="18">
        <v>0</v>
      </c>
      <c r="D334" s="18">
        <v>1159</v>
      </c>
      <c r="E334" s="18">
        <v>1073</v>
      </c>
    </row>
    <row r="335" spans="1:5" x14ac:dyDescent="0.3">
      <c r="A335" s="23" t="s">
        <v>299</v>
      </c>
      <c r="B335" s="18">
        <v>0</v>
      </c>
      <c r="C335" s="18">
        <v>0</v>
      </c>
      <c r="D335" s="18">
        <v>193</v>
      </c>
      <c r="E335" s="18">
        <v>145</v>
      </c>
    </row>
    <row r="336" spans="1:5" x14ac:dyDescent="0.3">
      <c r="A336" s="9" t="s">
        <v>265</v>
      </c>
    </row>
    <row r="338" spans="1:15" ht="18" customHeight="1" x14ac:dyDescent="0.3">
      <c r="A338" s="10" t="s">
        <v>637</v>
      </c>
    </row>
    <row r="339" spans="1:15" ht="32" customHeight="1" x14ac:dyDescent="0.3">
      <c r="A339" s="11" t="s">
        <v>73</v>
      </c>
      <c r="B339" s="11" t="s">
        <v>636</v>
      </c>
      <c r="C339" s="11" t="s">
        <v>291</v>
      </c>
      <c r="D339" s="11" t="s">
        <v>662</v>
      </c>
      <c r="E339" s="11" t="s">
        <v>630</v>
      </c>
      <c r="F339" s="11" t="s">
        <v>631</v>
      </c>
      <c r="G339" s="11" t="s">
        <v>632</v>
      </c>
      <c r="H339" s="11" t="s">
        <v>634</v>
      </c>
      <c r="I339" s="11" t="s">
        <v>661</v>
      </c>
      <c r="J339" s="11" t="s">
        <v>293</v>
      </c>
      <c r="K339" s="11" t="s">
        <v>635</v>
      </c>
      <c r="L339" s="11" t="s">
        <v>660</v>
      </c>
      <c r="M339" s="11" t="s">
        <v>37</v>
      </c>
      <c r="N339" s="11" t="s">
        <v>292</v>
      </c>
      <c r="O339" s="11" t="s">
        <v>659</v>
      </c>
    </row>
    <row r="340" spans="1:15" x14ac:dyDescent="0.3">
      <c r="A340" s="17">
        <v>2008</v>
      </c>
      <c r="B340" s="18">
        <v>2667.1320000000001</v>
      </c>
      <c r="C340" s="18">
        <v>41.7</v>
      </c>
      <c r="D340" s="18">
        <v>540.154</v>
      </c>
      <c r="E340" s="18">
        <v>158.18200000000002</v>
      </c>
      <c r="F340" s="18">
        <v>282.726</v>
      </c>
      <c r="G340" s="18">
        <v>98.690000000000012</v>
      </c>
      <c r="H340" s="18">
        <v>736.42200000000003</v>
      </c>
      <c r="I340" s="18">
        <v>189.04000000000002</v>
      </c>
      <c r="J340" s="18">
        <v>251.59000000000003</v>
      </c>
      <c r="K340" s="18">
        <v>19.182000000000002</v>
      </c>
      <c r="L340" s="18">
        <v>59.214000000000006</v>
      </c>
      <c r="M340" s="18">
        <v>29.19</v>
      </c>
      <c r="N340" s="18">
        <v>42.812000000000005</v>
      </c>
      <c r="O340" s="18">
        <v>170.69200000000001</v>
      </c>
    </row>
    <row r="341" spans="1:15" x14ac:dyDescent="0.3">
      <c r="A341" s="17">
        <v>2009</v>
      </c>
      <c r="B341" s="18">
        <v>2329.0840000000003</v>
      </c>
      <c r="C341" s="18">
        <v>22.796000000000003</v>
      </c>
      <c r="D341" s="18">
        <v>531.25800000000004</v>
      </c>
      <c r="E341" s="18">
        <v>204.05200000000002</v>
      </c>
      <c r="F341" s="18">
        <v>234.35400000000001</v>
      </c>
      <c r="G341" s="18">
        <v>110.64400000000001</v>
      </c>
      <c r="H341" s="18">
        <v>624.11</v>
      </c>
      <c r="I341" s="18">
        <v>187.92800000000003</v>
      </c>
      <c r="J341" s="18">
        <v>159.29400000000001</v>
      </c>
      <c r="K341" s="18">
        <v>22.240000000000002</v>
      </c>
      <c r="L341" s="18">
        <v>43.09</v>
      </c>
      <c r="M341" s="18">
        <v>23.908000000000001</v>
      </c>
      <c r="N341" s="18">
        <v>36.696000000000005</v>
      </c>
      <c r="O341" s="18">
        <v>103.694</v>
      </c>
    </row>
    <row r="342" spans="1:15" x14ac:dyDescent="0.3">
      <c r="A342" s="17">
        <v>2010</v>
      </c>
      <c r="B342" s="18">
        <v>2549.538</v>
      </c>
      <c r="C342" s="18">
        <v>23.630000000000003</v>
      </c>
      <c r="D342" s="18">
        <v>545.71400000000006</v>
      </c>
      <c r="E342" s="18">
        <v>160.12800000000001</v>
      </c>
      <c r="F342" s="18">
        <v>250.47800000000001</v>
      </c>
      <c r="G342" s="18">
        <v>236.57800000000003</v>
      </c>
      <c r="H342" s="18">
        <v>680.5440000000001</v>
      </c>
      <c r="I342" s="18">
        <v>180.42200000000003</v>
      </c>
      <c r="J342" s="18">
        <v>185.14800000000002</v>
      </c>
      <c r="K342" s="18">
        <v>19.46</v>
      </c>
      <c r="L342" s="18">
        <v>54.210000000000008</v>
      </c>
      <c r="M342" s="18">
        <v>25.576000000000001</v>
      </c>
      <c r="N342" s="18">
        <v>30.580000000000002</v>
      </c>
      <c r="O342" s="18">
        <v>128.99200000000002</v>
      </c>
    </row>
    <row r="343" spans="1:15" x14ac:dyDescent="0.3">
      <c r="A343" s="17">
        <v>2011</v>
      </c>
      <c r="B343" s="18">
        <v>2667.6880000000001</v>
      </c>
      <c r="C343" s="18">
        <v>29.468000000000004</v>
      </c>
      <c r="D343" s="18">
        <v>604.09400000000005</v>
      </c>
      <c r="E343" s="18">
        <v>147.34</v>
      </c>
      <c r="F343" s="18">
        <v>219.06400000000002</v>
      </c>
      <c r="G343" s="18">
        <v>160.96200000000002</v>
      </c>
      <c r="H343" s="18">
        <v>770.33800000000008</v>
      </c>
      <c r="I343" s="18">
        <v>214.06000000000003</v>
      </c>
      <c r="J343" s="18">
        <v>200.16000000000003</v>
      </c>
      <c r="K343" s="18">
        <v>21.128</v>
      </c>
      <c r="L343" s="18">
        <v>66.164000000000001</v>
      </c>
      <c r="M343" s="18">
        <v>30.302000000000003</v>
      </c>
      <c r="N343" s="18">
        <v>26.410000000000004</v>
      </c>
      <c r="O343" s="18">
        <v>149.286</v>
      </c>
    </row>
    <row r="344" spans="1:15" x14ac:dyDescent="0.3">
      <c r="A344" s="17">
        <v>2012</v>
      </c>
      <c r="B344" s="18">
        <v>2810.5800000000004</v>
      </c>
      <c r="C344" s="18">
        <v>24.742000000000001</v>
      </c>
      <c r="D344" s="18">
        <v>605.48400000000004</v>
      </c>
      <c r="E344" s="18">
        <v>155.40200000000002</v>
      </c>
      <c r="F344" s="18">
        <v>274.94200000000001</v>
      </c>
      <c r="G344" s="18">
        <v>127.04600000000001</v>
      </c>
      <c r="H344" s="18">
        <v>786.18400000000008</v>
      </c>
      <c r="I344" s="18">
        <v>198.21400000000003</v>
      </c>
      <c r="J344" s="18">
        <v>222.40000000000003</v>
      </c>
      <c r="K344" s="18">
        <v>23.908000000000001</v>
      </c>
      <c r="L344" s="18">
        <v>88.404000000000011</v>
      </c>
      <c r="M344" s="18">
        <v>44.480000000000004</v>
      </c>
      <c r="N344" s="18">
        <v>19.738000000000003</v>
      </c>
      <c r="O344" s="18">
        <v>199.04800000000003</v>
      </c>
    </row>
    <row r="345" spans="1:15" x14ac:dyDescent="0.3">
      <c r="A345" s="17">
        <v>2013</v>
      </c>
      <c r="B345" s="18">
        <v>2880.0800000000004</v>
      </c>
      <c r="C345" s="18">
        <v>26.966000000000001</v>
      </c>
      <c r="D345" s="18">
        <v>657.19200000000001</v>
      </c>
      <c r="E345" s="18">
        <v>150.39800000000002</v>
      </c>
      <c r="F345" s="18">
        <v>261.04200000000003</v>
      </c>
      <c r="G345" s="18">
        <v>150.12</v>
      </c>
      <c r="H345" s="18">
        <v>730.58400000000006</v>
      </c>
      <c r="I345" s="18">
        <v>217.67400000000001</v>
      </c>
      <c r="J345" s="18">
        <v>247.97600000000003</v>
      </c>
      <c r="K345" s="18">
        <v>20.85</v>
      </c>
      <c r="L345" s="18">
        <v>74.226000000000013</v>
      </c>
      <c r="M345" s="18">
        <v>44.202000000000005</v>
      </c>
      <c r="N345" s="18">
        <v>18.904000000000003</v>
      </c>
      <c r="O345" s="18">
        <v>231.01800000000003</v>
      </c>
    </row>
    <row r="346" spans="1:15" x14ac:dyDescent="0.3">
      <c r="A346" s="17">
        <v>2014</v>
      </c>
      <c r="B346" s="18">
        <v>3019.3580000000002</v>
      </c>
      <c r="C346" s="18">
        <v>25.576000000000001</v>
      </c>
      <c r="D346" s="18">
        <v>683.88000000000011</v>
      </c>
      <c r="E346" s="18">
        <v>144.83800000000002</v>
      </c>
      <c r="F346" s="18">
        <v>299.68400000000003</v>
      </c>
      <c r="G346" s="18">
        <v>155.95800000000003</v>
      </c>
      <c r="H346" s="18">
        <v>750.32200000000012</v>
      </c>
      <c r="I346" s="18">
        <v>235.18800000000002</v>
      </c>
      <c r="J346" s="18">
        <v>257.70600000000002</v>
      </c>
      <c r="K346" s="18">
        <v>20.016000000000002</v>
      </c>
      <c r="L346" s="18">
        <v>83.956000000000003</v>
      </c>
      <c r="M346" s="18">
        <v>30.024000000000001</v>
      </c>
      <c r="N346" s="18">
        <v>25.854000000000003</v>
      </c>
      <c r="O346" s="18">
        <v>254.64800000000002</v>
      </c>
    </row>
    <row r="347" spans="1:15" x14ac:dyDescent="0.3">
      <c r="A347" s="17">
        <v>2015</v>
      </c>
      <c r="B347" s="18">
        <v>3172.2580000000003</v>
      </c>
      <c r="C347" s="18">
        <v>27.244000000000003</v>
      </c>
      <c r="D347" s="18">
        <v>698.89200000000005</v>
      </c>
      <c r="E347" s="18">
        <v>158.18200000000002</v>
      </c>
      <c r="F347" s="18">
        <v>343.33000000000004</v>
      </c>
      <c r="G347" s="18">
        <v>162.352</v>
      </c>
      <c r="H347" s="18">
        <v>713.34800000000007</v>
      </c>
      <c r="I347" s="18">
        <v>302.46400000000006</v>
      </c>
      <c r="J347" s="18">
        <v>242.97200000000001</v>
      </c>
      <c r="K347" s="18">
        <v>19.182000000000002</v>
      </c>
      <c r="L347" s="18">
        <v>86.736000000000004</v>
      </c>
      <c r="M347" s="18">
        <v>29.19</v>
      </c>
      <c r="N347" s="18">
        <v>29.746000000000002</v>
      </c>
      <c r="O347" s="18">
        <v>312.19400000000002</v>
      </c>
    </row>
    <row r="348" spans="1:15" x14ac:dyDescent="0.3">
      <c r="A348" s="17">
        <v>2016</v>
      </c>
      <c r="B348" s="18">
        <v>3271.5040000000004</v>
      </c>
      <c r="C348" s="18">
        <v>29.19</v>
      </c>
      <c r="D348" s="18">
        <v>729.19400000000007</v>
      </c>
      <c r="E348" s="18">
        <v>168.19000000000003</v>
      </c>
      <c r="F348" s="18">
        <v>366.40400000000005</v>
      </c>
      <c r="G348" s="18">
        <v>157.07000000000002</v>
      </c>
      <c r="H348" s="18">
        <v>746.9860000000001</v>
      </c>
      <c r="I348" s="18">
        <v>323.87</v>
      </c>
      <c r="J348" s="18">
        <v>252.14600000000002</v>
      </c>
      <c r="K348" s="18">
        <v>19.46</v>
      </c>
      <c r="L348" s="18">
        <v>95.910000000000011</v>
      </c>
      <c r="M348" s="18">
        <v>35.306000000000004</v>
      </c>
      <c r="N348" s="18">
        <v>23.630000000000003</v>
      </c>
      <c r="O348" s="18">
        <v>270.21600000000001</v>
      </c>
    </row>
    <row r="349" spans="1:15" x14ac:dyDescent="0.3">
      <c r="A349" s="17">
        <v>2017</v>
      </c>
      <c r="B349" s="18">
        <v>3499.4640000000004</v>
      </c>
      <c r="C349" s="18">
        <v>31.136000000000003</v>
      </c>
      <c r="D349" s="18">
        <v>786.74000000000012</v>
      </c>
      <c r="E349" s="18">
        <v>163.46400000000003</v>
      </c>
      <c r="F349" s="18">
        <v>365.29200000000003</v>
      </c>
      <c r="G349" s="18">
        <v>191.54200000000003</v>
      </c>
      <c r="H349" s="18">
        <v>832.05400000000009</v>
      </c>
      <c r="I349" s="18">
        <v>332.48800000000006</v>
      </c>
      <c r="J349" s="18">
        <v>244.08400000000003</v>
      </c>
      <c r="K349" s="18">
        <v>19.182000000000002</v>
      </c>
      <c r="L349" s="18">
        <v>148.17400000000001</v>
      </c>
      <c r="M349" s="18">
        <v>33.638000000000005</v>
      </c>
      <c r="N349" s="18">
        <v>23.074000000000002</v>
      </c>
      <c r="O349" s="18">
        <v>266.04600000000005</v>
      </c>
    </row>
    <row r="350" spans="1:15" x14ac:dyDescent="0.3">
      <c r="A350" s="17">
        <v>2018</v>
      </c>
      <c r="B350" s="18">
        <v>3531.4340000000002</v>
      </c>
      <c r="C350" s="18">
        <v>30.580000000000002</v>
      </c>
      <c r="D350" s="18">
        <v>764.50000000000011</v>
      </c>
      <c r="E350" s="18">
        <v>159.01600000000002</v>
      </c>
      <c r="F350" s="18">
        <v>356.11800000000005</v>
      </c>
      <c r="G350" s="18">
        <v>176.80800000000002</v>
      </c>
      <c r="H350" s="18">
        <v>805.3660000000001</v>
      </c>
      <c r="I350" s="18">
        <v>350.55800000000005</v>
      </c>
      <c r="J350" s="18">
        <v>284.11600000000004</v>
      </c>
      <c r="K350" s="18">
        <v>16.68</v>
      </c>
      <c r="L350" s="18">
        <v>124.82200000000002</v>
      </c>
      <c r="M350" s="18">
        <v>32.804000000000002</v>
      </c>
      <c r="N350" s="18">
        <v>31.970000000000002</v>
      </c>
      <c r="O350" s="18">
        <v>336.38000000000005</v>
      </c>
    </row>
    <row r="351" spans="1:15" x14ac:dyDescent="0.3">
      <c r="A351" s="17">
        <v>2019</v>
      </c>
      <c r="B351" s="18">
        <v>3648.1940000000004</v>
      </c>
      <c r="C351" s="18">
        <v>38.92</v>
      </c>
      <c r="D351" s="18">
        <v>774.23</v>
      </c>
      <c r="E351" s="18">
        <v>150.95400000000001</v>
      </c>
      <c r="F351" s="18">
        <v>370.57400000000001</v>
      </c>
      <c r="G351" s="18">
        <v>199.04800000000003</v>
      </c>
      <c r="H351" s="18">
        <v>807.59</v>
      </c>
      <c r="I351" s="18">
        <v>347.22200000000004</v>
      </c>
      <c r="J351" s="18">
        <v>264.37800000000004</v>
      </c>
      <c r="K351" s="18">
        <v>11.676000000000002</v>
      </c>
      <c r="L351" s="18">
        <v>122.04200000000002</v>
      </c>
      <c r="M351" s="18">
        <v>115.37</v>
      </c>
      <c r="N351" s="18">
        <v>26.410000000000004</v>
      </c>
      <c r="O351" s="18">
        <v>352.50400000000002</v>
      </c>
    </row>
    <row r="352" spans="1:15" x14ac:dyDescent="0.3">
      <c r="A352" s="17">
        <v>2020</v>
      </c>
      <c r="B352" s="18">
        <v>3595.3740000000003</v>
      </c>
      <c r="C352" s="18">
        <v>44.202000000000005</v>
      </c>
      <c r="D352" s="18">
        <v>781.45800000000008</v>
      </c>
      <c r="E352" s="18">
        <v>132.60600000000002</v>
      </c>
      <c r="F352" s="18">
        <v>383.08400000000006</v>
      </c>
      <c r="G352" s="18">
        <v>187.92800000000003</v>
      </c>
      <c r="H352" s="18">
        <v>827.88400000000013</v>
      </c>
      <c r="I352" s="18">
        <v>358.06400000000002</v>
      </c>
      <c r="J352" s="18">
        <v>260.76400000000001</v>
      </c>
      <c r="K352" s="18">
        <v>10.564</v>
      </c>
      <c r="L352" s="18">
        <v>121.76400000000001</v>
      </c>
      <c r="M352" s="18">
        <v>31.970000000000002</v>
      </c>
      <c r="N352" s="18">
        <v>49.484000000000002</v>
      </c>
      <c r="O352" s="18">
        <v>331.93200000000002</v>
      </c>
    </row>
    <row r="353" spans="1:15" x14ac:dyDescent="0.3">
      <c r="A353" s="17">
        <v>2021</v>
      </c>
      <c r="B353" s="18">
        <v>3780.5220000000004</v>
      </c>
      <c r="C353" s="18">
        <v>47.538000000000004</v>
      </c>
      <c r="D353" s="18">
        <v>831.49800000000005</v>
      </c>
      <c r="E353" s="18">
        <v>154.012</v>
      </c>
      <c r="F353" s="18">
        <v>405.60200000000003</v>
      </c>
      <c r="G353" s="18">
        <v>232.13000000000002</v>
      </c>
      <c r="H353" s="18">
        <v>803.14200000000005</v>
      </c>
      <c r="I353" s="18">
        <v>328.596</v>
      </c>
      <c r="J353" s="18">
        <v>277.44400000000002</v>
      </c>
      <c r="K353" s="18">
        <v>16.124000000000002</v>
      </c>
      <c r="L353" s="18">
        <v>145.67200000000003</v>
      </c>
      <c r="M353" s="18">
        <v>35.584000000000003</v>
      </c>
      <c r="N353" s="18">
        <v>55.878000000000007</v>
      </c>
      <c r="O353" s="18">
        <v>370.29600000000005</v>
      </c>
    </row>
    <row r="354" spans="1:15" x14ac:dyDescent="0.3">
      <c r="A354" s="17">
        <v>2022</v>
      </c>
      <c r="B354" s="18">
        <v>3455.5400000000004</v>
      </c>
      <c r="C354" s="18">
        <v>46.426000000000002</v>
      </c>
      <c r="D354" s="18">
        <v>790.63200000000006</v>
      </c>
      <c r="E354" s="18">
        <v>151.23200000000003</v>
      </c>
      <c r="F354" s="18">
        <v>372.24200000000002</v>
      </c>
      <c r="G354" s="18">
        <v>212.67000000000002</v>
      </c>
      <c r="H354" s="18">
        <v>607.9860000000001</v>
      </c>
      <c r="I354" s="18">
        <v>326.37200000000001</v>
      </c>
      <c r="J354" s="18">
        <v>281.33600000000001</v>
      </c>
      <c r="K354" s="18">
        <v>13.900000000000002</v>
      </c>
      <c r="L354" s="18">
        <v>141.50200000000001</v>
      </c>
      <c r="M354" s="18">
        <v>37.252000000000002</v>
      </c>
      <c r="N354" s="18">
        <v>52.820000000000007</v>
      </c>
      <c r="O354" s="18">
        <v>351.67</v>
      </c>
    </row>
    <row r="355" spans="1:15" x14ac:dyDescent="0.3">
      <c r="A355" s="17">
        <v>2023</v>
      </c>
      <c r="B355" s="18">
        <v>3249.82</v>
      </c>
      <c r="C355" s="18">
        <v>42.256</v>
      </c>
      <c r="D355" s="18">
        <v>769.78200000000004</v>
      </c>
      <c r="E355" s="18">
        <v>136.77600000000001</v>
      </c>
      <c r="F355" s="18">
        <v>365.57000000000005</v>
      </c>
      <c r="G355" s="18">
        <v>207.11</v>
      </c>
      <c r="H355" s="18">
        <v>586.85800000000006</v>
      </c>
      <c r="I355" s="18">
        <v>315.25200000000001</v>
      </c>
      <c r="J355" s="18">
        <v>269.38200000000001</v>
      </c>
      <c r="K355" s="18">
        <v>15.846000000000002</v>
      </c>
      <c r="L355" s="18">
        <v>133.16200000000001</v>
      </c>
      <c r="M355" s="18">
        <v>36.696000000000005</v>
      </c>
      <c r="N355" s="18">
        <v>56.99</v>
      </c>
      <c r="O355" s="18">
        <v>345.55400000000003</v>
      </c>
    </row>
    <row r="356" spans="1:15" x14ac:dyDescent="0.3">
      <c r="A356" s="17">
        <v>2024</v>
      </c>
      <c r="B356" s="18">
        <v>3412.1720000000005</v>
      </c>
      <c r="C356" s="18">
        <v>40.588000000000001</v>
      </c>
      <c r="D356" s="18">
        <v>815.37400000000002</v>
      </c>
      <c r="E356" s="18">
        <v>175.97400000000002</v>
      </c>
      <c r="F356" s="18">
        <v>388.64400000000006</v>
      </c>
      <c r="G356" s="18">
        <v>215.72800000000001</v>
      </c>
      <c r="H356" s="18">
        <v>590.19400000000007</v>
      </c>
      <c r="I356" s="18">
        <v>340.55</v>
      </c>
      <c r="J356" s="18">
        <v>271.32800000000003</v>
      </c>
      <c r="K356" s="18">
        <v>20.016000000000002</v>
      </c>
      <c r="L356" s="18">
        <v>150.12</v>
      </c>
      <c r="M356" s="18">
        <v>35.028000000000006</v>
      </c>
      <c r="N356" s="18">
        <v>63.662000000000006</v>
      </c>
      <c r="O356" s="18">
        <v>229.35000000000002</v>
      </c>
    </row>
    <row r="357" spans="1:15" x14ac:dyDescent="0.3">
      <c r="A357" s="9" t="s">
        <v>265</v>
      </c>
    </row>
    <row r="359" spans="1:15" ht="18" customHeight="1" x14ac:dyDescent="0.3">
      <c r="A359" s="10" t="s">
        <v>285</v>
      </c>
    </row>
    <row r="360" spans="1:15" ht="19" customHeight="1" x14ac:dyDescent="0.3">
      <c r="A360" s="22" t="s">
        <v>73</v>
      </c>
      <c r="B360" s="11" t="s">
        <v>279</v>
      </c>
      <c r="C360" s="11" t="s">
        <v>278</v>
      </c>
      <c r="D360" s="11" t="s">
        <v>277</v>
      </c>
      <c r="E360" s="11" t="s">
        <v>276</v>
      </c>
      <c r="F360" s="11" t="s">
        <v>275</v>
      </c>
      <c r="G360" s="11" t="s">
        <v>274</v>
      </c>
      <c r="H360" s="11" t="s">
        <v>273</v>
      </c>
      <c r="I360" s="11" t="s">
        <v>272</v>
      </c>
      <c r="J360" s="11" t="s">
        <v>271</v>
      </c>
      <c r="K360" s="11" t="s">
        <v>270</v>
      </c>
      <c r="L360" s="11" t="s">
        <v>269</v>
      </c>
      <c r="M360" s="11" t="s">
        <v>268</v>
      </c>
    </row>
    <row r="361" spans="1:15" x14ac:dyDescent="0.3">
      <c r="A361" s="37" t="s">
        <v>241</v>
      </c>
      <c r="B361" s="16">
        <v>1808982</v>
      </c>
      <c r="C361" s="16">
        <v>1205668</v>
      </c>
      <c r="D361" s="16">
        <v>1244063</v>
      </c>
      <c r="E361" s="16">
        <v>1298737</v>
      </c>
      <c r="F361" s="16">
        <v>1356987</v>
      </c>
      <c r="G361" s="16">
        <v>1430520</v>
      </c>
      <c r="H361" s="16">
        <v>1498688</v>
      </c>
      <c r="I361" s="16">
        <v>1565465</v>
      </c>
      <c r="J361" s="16">
        <v>1611143</v>
      </c>
      <c r="K361" s="16">
        <v>1650384</v>
      </c>
      <c r="L361" s="16">
        <v>1700524</v>
      </c>
      <c r="M361" s="16">
        <v>1729713</v>
      </c>
    </row>
    <row r="362" spans="1:15" x14ac:dyDescent="0.3">
      <c r="A362" s="31" t="s">
        <v>282</v>
      </c>
      <c r="B362" s="13">
        <v>2</v>
      </c>
      <c r="C362" s="13">
        <v>70</v>
      </c>
      <c r="D362" s="13">
        <v>169</v>
      </c>
      <c r="E362" s="13">
        <v>358</v>
      </c>
      <c r="F362" s="13">
        <v>619</v>
      </c>
      <c r="G362" s="13">
        <v>965</v>
      </c>
      <c r="H362" s="13">
        <v>1395</v>
      </c>
      <c r="I362" s="13">
        <v>2475</v>
      </c>
      <c r="J362" s="13">
        <v>4831</v>
      </c>
      <c r="K362" s="13">
        <v>7305</v>
      </c>
      <c r="L362" s="13">
        <v>11424</v>
      </c>
      <c r="M362" s="13">
        <v>15741</v>
      </c>
    </row>
    <row r="363" spans="1:15" ht="26" x14ac:dyDescent="0.3">
      <c r="A363" s="31" t="s">
        <v>658</v>
      </c>
      <c r="B363" s="13">
        <v>1129</v>
      </c>
      <c r="C363" s="13">
        <v>2930</v>
      </c>
      <c r="D363" s="13">
        <v>3919</v>
      </c>
      <c r="E363" s="13">
        <v>5678</v>
      </c>
      <c r="F363" s="13">
        <v>8622</v>
      </c>
      <c r="G363" s="13">
        <v>14108</v>
      </c>
      <c r="H363" s="13">
        <v>20978</v>
      </c>
      <c r="I363" s="13">
        <v>29175</v>
      </c>
      <c r="J363" s="13">
        <v>39056</v>
      </c>
      <c r="K363" s="13">
        <v>52902</v>
      </c>
      <c r="L363" s="13">
        <v>69105</v>
      </c>
      <c r="M363" s="13">
        <v>91082</v>
      </c>
    </row>
    <row r="364" spans="1:15" x14ac:dyDescent="0.3">
      <c r="A364" s="9" t="s">
        <v>265</v>
      </c>
    </row>
    <row r="366" spans="1:15" ht="18" customHeight="1" x14ac:dyDescent="0.3">
      <c r="A366" s="10" t="s">
        <v>284</v>
      </c>
    </row>
    <row r="367" spans="1:15" ht="19" customHeight="1" x14ac:dyDescent="0.3">
      <c r="A367" s="22" t="s">
        <v>73</v>
      </c>
      <c r="B367" s="11" t="s">
        <v>279</v>
      </c>
      <c r="C367" s="11" t="s">
        <v>278</v>
      </c>
      <c r="D367" s="11" t="s">
        <v>277</v>
      </c>
      <c r="E367" s="11" t="s">
        <v>276</v>
      </c>
      <c r="F367" s="11" t="s">
        <v>275</v>
      </c>
      <c r="G367" s="11" t="s">
        <v>274</v>
      </c>
      <c r="H367" s="11" t="s">
        <v>273</v>
      </c>
      <c r="I367" s="11" t="s">
        <v>272</v>
      </c>
      <c r="J367" s="11" t="s">
        <v>271</v>
      </c>
      <c r="K367" s="11" t="s">
        <v>270</v>
      </c>
      <c r="L367" s="11" t="s">
        <v>269</v>
      </c>
      <c r="M367" s="11" t="s">
        <v>268</v>
      </c>
    </row>
    <row r="368" spans="1:15" x14ac:dyDescent="0.3">
      <c r="A368" s="23" t="s">
        <v>267</v>
      </c>
      <c r="B368" s="20">
        <v>1.1055941960727082E-6</v>
      </c>
      <c r="C368" s="20">
        <v>5.8059100846999338E-5</v>
      </c>
      <c r="D368" s="20">
        <v>1.3584521041136983E-4</v>
      </c>
      <c r="E368" s="20">
        <v>2.7565242231491056E-4</v>
      </c>
      <c r="F368" s="20">
        <v>4.5615764926266794E-4</v>
      </c>
      <c r="G368" s="20">
        <v>6.7457987305315551E-4</v>
      </c>
      <c r="H368" s="20">
        <v>9.3081415211171371E-4</v>
      </c>
      <c r="I368" s="20">
        <v>1.580999894600007E-3</v>
      </c>
      <c r="J368" s="20">
        <v>2.9984923746681704E-3</v>
      </c>
      <c r="K368" s="20">
        <v>4.4262426198993692E-3</v>
      </c>
      <c r="L368" s="20">
        <v>6.7179292970872507E-3</v>
      </c>
      <c r="M368" s="20">
        <v>9.1003536424828866E-3</v>
      </c>
    </row>
    <row r="369" spans="1:13" ht="26" x14ac:dyDescent="0.3">
      <c r="A369" s="31" t="s">
        <v>266</v>
      </c>
      <c r="B369" s="20">
        <v>6.2410792368304384E-4</v>
      </c>
      <c r="C369" s="20">
        <v>2.4301880783101151E-3</v>
      </c>
      <c r="D369" s="20">
        <v>3.1501620094802271E-3</v>
      </c>
      <c r="E369" s="20">
        <v>4.3719398153744754E-3</v>
      </c>
      <c r="F369" s="20">
        <v>6.3537823133161921E-3</v>
      </c>
      <c r="G369" s="20">
        <v>9.8621480300869618E-3</v>
      </c>
      <c r="H369" s="20">
        <v>1.3997576546953069E-2</v>
      </c>
      <c r="I369" s="20">
        <v>1.8636635121194022E-2</v>
      </c>
      <c r="J369" s="20">
        <v>2.42411753643221E-2</v>
      </c>
      <c r="K369" s="20">
        <v>3.2054358258441669E-2</v>
      </c>
      <c r="L369" s="20">
        <v>4.0637474096219754E-2</v>
      </c>
      <c r="M369" s="20">
        <v>5.2657290544731984E-2</v>
      </c>
    </row>
    <row r="370" spans="1:13" x14ac:dyDescent="0.3">
      <c r="A370" s="9" t="s">
        <v>265</v>
      </c>
    </row>
    <row r="372" spans="1:13" ht="18" customHeight="1" x14ac:dyDescent="0.3">
      <c r="A372" s="10" t="s">
        <v>283</v>
      </c>
    </row>
    <row r="373" spans="1:13" ht="19" customHeight="1" x14ac:dyDescent="0.3">
      <c r="A373" s="22" t="s">
        <v>73</v>
      </c>
      <c r="B373" s="11" t="s">
        <v>279</v>
      </c>
      <c r="C373" s="11" t="s">
        <v>278</v>
      </c>
      <c r="D373" s="11" t="s">
        <v>277</v>
      </c>
      <c r="E373" s="11" t="s">
        <v>276</v>
      </c>
      <c r="F373" s="11" t="s">
        <v>275</v>
      </c>
      <c r="G373" s="11" t="s">
        <v>274</v>
      </c>
      <c r="H373" s="11" t="s">
        <v>273</v>
      </c>
      <c r="I373" s="11" t="s">
        <v>272</v>
      </c>
      <c r="J373" s="11" t="s">
        <v>271</v>
      </c>
      <c r="K373" s="11" t="s">
        <v>270</v>
      </c>
      <c r="L373" s="11" t="s">
        <v>269</v>
      </c>
      <c r="M373" s="11" t="s">
        <v>268</v>
      </c>
    </row>
    <row r="374" spans="1:13" x14ac:dyDescent="0.3">
      <c r="A374" s="37" t="s">
        <v>241</v>
      </c>
      <c r="B374" s="16">
        <v>12257</v>
      </c>
      <c r="C374" s="16">
        <v>11699</v>
      </c>
      <c r="D374" s="16">
        <v>13757</v>
      </c>
      <c r="E374" s="16">
        <v>16402</v>
      </c>
      <c r="F374" s="16">
        <v>19083</v>
      </c>
      <c r="G374" s="16">
        <v>21678</v>
      </c>
      <c r="H374" s="16">
        <v>25609</v>
      </c>
      <c r="I374" s="16">
        <v>40878</v>
      </c>
      <c r="J374" s="16">
        <v>28209</v>
      </c>
      <c r="K374" s="16">
        <v>24115</v>
      </c>
      <c r="L374" s="16">
        <v>26866</v>
      </c>
      <c r="M374" s="16">
        <v>27857</v>
      </c>
    </row>
    <row r="375" spans="1:13" x14ac:dyDescent="0.3">
      <c r="A375" s="31" t="s">
        <v>282</v>
      </c>
      <c r="B375" s="13">
        <v>2</v>
      </c>
      <c r="C375" s="13">
        <v>8</v>
      </c>
      <c r="D375" s="13">
        <v>26</v>
      </c>
      <c r="E375" s="13">
        <v>62</v>
      </c>
      <c r="F375" s="13">
        <v>43</v>
      </c>
      <c r="G375" s="13">
        <v>141</v>
      </c>
      <c r="H375" s="13">
        <v>175</v>
      </c>
      <c r="I375" s="13">
        <v>480</v>
      </c>
      <c r="J375" s="13">
        <v>1277</v>
      </c>
      <c r="K375" s="13">
        <v>1507</v>
      </c>
      <c r="L375" s="13">
        <v>2210</v>
      </c>
      <c r="M375" s="13">
        <v>1877</v>
      </c>
    </row>
    <row r="376" spans="1:13" ht="26" x14ac:dyDescent="0.3">
      <c r="A376" s="31" t="s">
        <v>658</v>
      </c>
      <c r="B376" s="13">
        <v>45</v>
      </c>
      <c r="C376" s="13">
        <v>84</v>
      </c>
      <c r="D376" s="13">
        <v>94</v>
      </c>
      <c r="E376" s="13">
        <v>235</v>
      </c>
      <c r="F376" s="13">
        <v>501</v>
      </c>
      <c r="G376" s="13">
        <v>2304</v>
      </c>
      <c r="H376" s="13">
        <v>3202</v>
      </c>
      <c r="I376" s="13">
        <v>8003</v>
      </c>
      <c r="J376" s="13">
        <v>10385</v>
      </c>
      <c r="K376" s="13">
        <v>9543</v>
      </c>
      <c r="L376" s="13">
        <v>11499</v>
      </c>
      <c r="M376" s="13">
        <v>14793</v>
      </c>
    </row>
    <row r="377" spans="1:13" x14ac:dyDescent="0.3">
      <c r="A377" s="9" t="s">
        <v>265</v>
      </c>
    </row>
    <row r="379" spans="1:13" ht="18" customHeight="1" x14ac:dyDescent="0.3">
      <c r="A379" s="10" t="s">
        <v>280</v>
      </c>
    </row>
    <row r="380" spans="1:13" ht="19" customHeight="1" x14ac:dyDescent="0.3">
      <c r="A380" s="22" t="s">
        <v>73</v>
      </c>
      <c r="B380" s="11" t="s">
        <v>279</v>
      </c>
      <c r="C380" s="11" t="s">
        <v>278</v>
      </c>
      <c r="D380" s="11" t="s">
        <v>277</v>
      </c>
      <c r="E380" s="11" t="s">
        <v>276</v>
      </c>
      <c r="F380" s="11" t="s">
        <v>275</v>
      </c>
      <c r="G380" s="11" t="s">
        <v>274</v>
      </c>
      <c r="H380" s="11" t="s">
        <v>273</v>
      </c>
      <c r="I380" s="11" t="s">
        <v>272</v>
      </c>
      <c r="J380" s="11" t="s">
        <v>271</v>
      </c>
      <c r="K380" s="11" t="s">
        <v>270</v>
      </c>
      <c r="L380" s="11" t="s">
        <v>269</v>
      </c>
      <c r="M380" s="11" t="s">
        <v>268</v>
      </c>
    </row>
    <row r="381" spans="1:13" ht="26" x14ac:dyDescent="0.3">
      <c r="A381" s="31" t="s">
        <v>267</v>
      </c>
      <c r="B381" s="20">
        <v>0</v>
      </c>
      <c r="C381" s="20">
        <v>1E-3</v>
      </c>
      <c r="D381" s="20">
        <v>2E-3</v>
      </c>
      <c r="E381" s="20">
        <v>4.0000000000000001E-3</v>
      </c>
      <c r="F381" s="20">
        <v>2E-3</v>
      </c>
      <c r="G381" s="20">
        <v>7.0000000000000001E-3</v>
      </c>
      <c r="H381" s="20">
        <v>7.0000000000000001E-3</v>
      </c>
      <c r="I381" s="20">
        <v>1.2E-2</v>
      </c>
      <c r="J381" s="20">
        <v>4.4999999999999998E-2</v>
      </c>
      <c r="K381" s="20">
        <v>6.2E-2</v>
      </c>
      <c r="L381" s="20">
        <v>8.2000000000000003E-2</v>
      </c>
      <c r="M381" s="20">
        <v>6.7000000000000004E-2</v>
      </c>
    </row>
    <row r="382" spans="1:13" ht="26" x14ac:dyDescent="0.3">
      <c r="A382" s="31" t="s">
        <v>266</v>
      </c>
      <c r="B382" s="20">
        <v>4.0000000000000001E-3</v>
      </c>
      <c r="C382" s="20">
        <v>7.0000000000000001E-3</v>
      </c>
      <c r="D382" s="20">
        <v>7.0000000000000001E-3</v>
      </c>
      <c r="E382" s="20">
        <v>1.4E-2</v>
      </c>
      <c r="F382" s="20">
        <v>2.5999999999999999E-2</v>
      </c>
      <c r="G382" s="20">
        <v>0.106</v>
      </c>
      <c r="H382" s="20">
        <v>0.125</v>
      </c>
      <c r="I382" s="20">
        <v>0.19600000000000001</v>
      </c>
      <c r="J382" s="20">
        <v>0.36799999999999999</v>
      </c>
      <c r="K382" s="20">
        <v>0.39600000000000002</v>
      </c>
      <c r="L382" s="20">
        <v>0.42799999999999999</v>
      </c>
      <c r="M382" s="20">
        <v>0.53100000000000003</v>
      </c>
    </row>
    <row r="383" spans="1:13" x14ac:dyDescent="0.3">
      <c r="A383" s="9" t="s">
        <v>265</v>
      </c>
    </row>
  </sheetData>
  <sheetProtection algorithmName="SHA-512" hashValue="ayqYHtKMsLn5bFCe8lvWDRseVNRcnAwkzts2/ehtS9OEqH3TyfCUDZ/10SvbK2Wl0iIVxK9txQhSuqySA+7XrA==" saltValue="xG4RAy0lFYnv18AyF2Xd+w==" spinCount="100000" sheet="1" objects="1" scenarios="1"/>
  <mergeCells count="4">
    <mergeCell ref="A100:A101"/>
    <mergeCell ref="A217:D217"/>
    <mergeCell ref="A290:D290"/>
    <mergeCell ref="A6:T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FAF8C"/>
  </sheetPr>
  <dimension ref="A1:I96"/>
  <sheetViews>
    <sheetView showGridLines="0" zoomScale="75" zoomScaleNormal="75" workbookViewId="0">
      <selection activeCell="B8" sqref="B8"/>
    </sheetView>
  </sheetViews>
  <sheetFormatPr defaultColWidth="8.54296875" defaultRowHeight="14.5" x14ac:dyDescent="0.35"/>
  <cols>
    <col min="1" max="1" width="35" customWidth="1"/>
    <col min="2" max="2" width="18" customWidth="1"/>
    <col min="3" max="3" width="62" customWidth="1"/>
    <col min="4" max="4" width="18" customWidth="1"/>
    <col min="5" max="6" width="16" customWidth="1"/>
    <col min="7" max="7" width="14" customWidth="1"/>
    <col min="8" max="8" width="10" customWidth="1"/>
    <col min="9" max="9" width="19.1796875" customWidth="1"/>
  </cols>
  <sheetData>
    <row r="1" spans="1:6" ht="24" customHeight="1" x14ac:dyDescent="0.35">
      <c r="A1" s="8" t="s">
        <v>0</v>
      </c>
    </row>
    <row r="2" spans="1:6" x14ac:dyDescent="0.35">
      <c r="A2" s="39" t="s">
        <v>1</v>
      </c>
    </row>
    <row r="4" spans="1:6" ht="18" customHeight="1" x14ac:dyDescent="0.35">
      <c r="A4" s="33" t="s">
        <v>2</v>
      </c>
    </row>
    <row r="5" spans="1:6" ht="19" customHeight="1" x14ac:dyDescent="0.35">
      <c r="A5" s="22" t="s">
        <v>3</v>
      </c>
      <c r="B5" s="11" t="s">
        <v>4</v>
      </c>
      <c r="C5" s="22" t="s">
        <v>5</v>
      </c>
      <c r="D5" s="22" t="s">
        <v>6</v>
      </c>
      <c r="F5" s="11" t="s">
        <v>196</v>
      </c>
    </row>
    <row r="6" spans="1:6" ht="187" customHeight="1" x14ac:dyDescent="0.35">
      <c r="A6" s="23" t="s">
        <v>7</v>
      </c>
      <c r="B6" s="40">
        <v>3</v>
      </c>
      <c r="C6" s="31" t="s">
        <v>8</v>
      </c>
      <c r="D6" s="31" t="s">
        <v>197</v>
      </c>
      <c r="F6" s="24">
        <f>1-(1/B6)</f>
        <v>0.66666666666666674</v>
      </c>
    </row>
    <row r="7" spans="1:6" ht="200" customHeight="1" x14ac:dyDescent="0.35">
      <c r="A7" s="23" t="s">
        <v>9</v>
      </c>
      <c r="B7" s="40">
        <v>2.5</v>
      </c>
      <c r="C7" s="31" t="s">
        <v>10</v>
      </c>
      <c r="D7" s="31" t="s">
        <v>198</v>
      </c>
      <c r="F7" s="24">
        <f t="shared" ref="F7:F8" si="0">1-(1/B7)</f>
        <v>0.6</v>
      </c>
    </row>
    <row r="8" spans="1:6" ht="226" customHeight="1" x14ac:dyDescent="0.35">
      <c r="A8" s="23" t="s">
        <v>11</v>
      </c>
      <c r="B8" s="40">
        <v>1.5</v>
      </c>
      <c r="C8" s="31" t="s">
        <v>12</v>
      </c>
      <c r="D8" s="31" t="s">
        <v>199</v>
      </c>
      <c r="F8" s="24">
        <f t="shared" si="0"/>
        <v>0.33333333333333337</v>
      </c>
    </row>
    <row r="9" spans="1:6" x14ac:dyDescent="0.35">
      <c r="B9" s="7"/>
    </row>
    <row r="10" spans="1:6" ht="19" customHeight="1" x14ac:dyDescent="0.35">
      <c r="A10" s="22" t="s">
        <v>13</v>
      </c>
      <c r="B10" s="11" t="s">
        <v>4</v>
      </c>
      <c r="C10" s="22" t="s">
        <v>5</v>
      </c>
    </row>
    <row r="11" spans="1:6" ht="31" customHeight="1" x14ac:dyDescent="0.35">
      <c r="A11" s="23" t="s">
        <v>14</v>
      </c>
      <c r="B11" s="40">
        <v>0.3</v>
      </c>
      <c r="C11" s="31" t="s">
        <v>15</v>
      </c>
    </row>
    <row r="12" spans="1:6" ht="31" customHeight="1" x14ac:dyDescent="0.35">
      <c r="A12" s="23" t="s">
        <v>16</v>
      </c>
      <c r="B12" s="40">
        <v>0.3</v>
      </c>
      <c r="C12" s="31" t="s">
        <v>15</v>
      </c>
    </row>
    <row r="13" spans="1:6" ht="31" customHeight="1" x14ac:dyDescent="0.35">
      <c r="A13" s="23" t="s">
        <v>17</v>
      </c>
      <c r="B13" s="40">
        <v>0.3</v>
      </c>
      <c r="C13" s="31" t="s">
        <v>15</v>
      </c>
    </row>
    <row r="14" spans="1:6" x14ac:dyDescent="0.35">
      <c r="B14" s="7"/>
    </row>
    <row r="15" spans="1:6" x14ac:dyDescent="0.35">
      <c r="B15" s="7"/>
    </row>
    <row r="16" spans="1:6" x14ac:dyDescent="0.35">
      <c r="B16" s="7"/>
    </row>
    <row r="17" spans="1:9" ht="18" customHeight="1" x14ac:dyDescent="0.35">
      <c r="A17" s="70" t="s">
        <v>18</v>
      </c>
      <c r="B17" s="70"/>
      <c r="C17" s="70"/>
      <c r="D17" s="70"/>
      <c r="E17" s="70"/>
      <c r="F17" s="70"/>
      <c r="G17" s="70"/>
      <c r="H17" s="70"/>
      <c r="I17" s="70"/>
    </row>
    <row r="18" spans="1:9" x14ac:dyDescent="0.35">
      <c r="A18" s="70"/>
      <c r="B18" s="70"/>
      <c r="C18" s="70"/>
      <c r="D18" s="70"/>
      <c r="E18" s="70"/>
      <c r="F18" s="70"/>
      <c r="G18" s="70"/>
      <c r="H18" s="70"/>
      <c r="I18" s="70"/>
    </row>
    <row r="19" spans="1:9" x14ac:dyDescent="0.35">
      <c r="A19" s="70"/>
      <c r="B19" s="70"/>
      <c r="C19" s="70"/>
      <c r="D19" s="70"/>
      <c r="E19" s="70"/>
      <c r="F19" s="70"/>
      <c r="G19" s="70"/>
      <c r="H19" s="70"/>
      <c r="I19" s="70"/>
    </row>
    <row r="20" spans="1:9" ht="18" customHeight="1" x14ac:dyDescent="0.35">
      <c r="A20" s="33" t="s">
        <v>19</v>
      </c>
    </row>
    <row r="21" spans="1:9" x14ac:dyDescent="0.35">
      <c r="A21" s="9" t="s">
        <v>20</v>
      </c>
    </row>
    <row r="22" spans="1:9" x14ac:dyDescent="0.35">
      <c r="B22" s="69" t="s">
        <v>21</v>
      </c>
      <c r="C22" s="69"/>
      <c r="D22" s="69"/>
    </row>
    <row r="23" spans="1:9" ht="32" customHeight="1" x14ac:dyDescent="0.35">
      <c r="A23" s="22" t="s">
        <v>22</v>
      </c>
      <c r="B23" s="11" t="s">
        <v>23</v>
      </c>
      <c r="C23" s="11" t="s">
        <v>24</v>
      </c>
      <c r="D23" s="11" t="s">
        <v>25</v>
      </c>
      <c r="E23" s="11" t="s">
        <v>26</v>
      </c>
      <c r="F23" s="11" t="s">
        <v>27</v>
      </c>
      <c r="G23" s="11" t="s">
        <v>28</v>
      </c>
      <c r="H23" s="11" t="s">
        <v>29</v>
      </c>
      <c r="I23" s="22" t="s">
        <v>30</v>
      </c>
    </row>
    <row r="24" spans="1:9" x14ac:dyDescent="0.35">
      <c r="A24" s="23" t="s">
        <v>31</v>
      </c>
      <c r="B24" s="41">
        <v>0</v>
      </c>
      <c r="C24" s="41">
        <v>0</v>
      </c>
      <c r="D24" s="41">
        <v>1</v>
      </c>
      <c r="E24" s="25">
        <v>0</v>
      </c>
      <c r="F24" s="25">
        <v>0</v>
      </c>
      <c r="G24" s="42">
        <f>IF(E24=0, $B$8, 1/(B24/$B$6 + C24/$B$7 + D24/$B$8))</f>
        <v>1.5</v>
      </c>
      <c r="H24" s="14">
        <v>14</v>
      </c>
      <c r="I24" s="23" t="s">
        <v>32</v>
      </c>
    </row>
    <row r="25" spans="1:9" x14ac:dyDescent="0.35">
      <c r="A25" s="23" t="s">
        <v>33</v>
      </c>
      <c r="B25" s="41">
        <v>0</v>
      </c>
      <c r="C25" s="41">
        <v>0.60801444420984396</v>
      </c>
      <c r="D25" s="41">
        <v>0.39198555579015598</v>
      </c>
      <c r="E25" s="25">
        <v>21.685740899192702</v>
      </c>
      <c r="F25" s="25">
        <v>10.1346087712</v>
      </c>
      <c r="G25" s="42">
        <f t="shared" ref="G25:G36" si="1">1/(B25/$B$6 + C25/$B$7 + D25/$B$8)</f>
        <v>1.9820447299524313</v>
      </c>
      <c r="H25" s="14">
        <v>15</v>
      </c>
    </row>
    <row r="26" spans="1:9" x14ac:dyDescent="0.35">
      <c r="A26" s="23" t="s">
        <v>34</v>
      </c>
      <c r="B26" s="41">
        <v>0</v>
      </c>
      <c r="C26" s="41">
        <v>0.18815138665256001</v>
      </c>
      <c r="D26" s="41">
        <v>0.81184861334743996</v>
      </c>
      <c r="E26" s="25">
        <v>0.74138721674249297</v>
      </c>
      <c r="F26" s="25">
        <v>0.93762543328474102</v>
      </c>
      <c r="G26" s="42">
        <f t="shared" si="1"/>
        <v>1.6220785298610838</v>
      </c>
      <c r="H26" s="14">
        <v>16</v>
      </c>
    </row>
    <row r="27" spans="1:9" x14ac:dyDescent="0.35">
      <c r="A27" s="23" t="s">
        <v>35</v>
      </c>
      <c r="B27" s="41">
        <v>0</v>
      </c>
      <c r="C27" s="41">
        <v>0.128745377704925</v>
      </c>
      <c r="D27" s="41">
        <v>0.871254622295075</v>
      </c>
      <c r="E27" s="25">
        <v>40.903668673425599</v>
      </c>
      <c r="F27" s="25">
        <v>13.795055889486401</v>
      </c>
      <c r="G27" s="42">
        <f t="shared" si="1"/>
        <v>1.5814413031572601</v>
      </c>
      <c r="H27" s="14">
        <v>17</v>
      </c>
    </row>
    <row r="28" spans="1:9" x14ac:dyDescent="0.35">
      <c r="A28" s="23" t="s">
        <v>36</v>
      </c>
      <c r="B28" s="41">
        <v>0</v>
      </c>
      <c r="C28" s="41">
        <v>0.66797191186830895</v>
      </c>
      <c r="D28" s="41">
        <v>0.33202808813169199</v>
      </c>
      <c r="E28" s="25">
        <v>3.6158641437440302</v>
      </c>
      <c r="F28" s="25">
        <v>5.3135425630487498</v>
      </c>
      <c r="G28" s="42">
        <f t="shared" si="1"/>
        <v>2.0469118482917255</v>
      </c>
      <c r="H28" s="14">
        <v>18</v>
      </c>
    </row>
    <row r="29" spans="1:9" x14ac:dyDescent="0.35">
      <c r="A29" s="23" t="s">
        <v>37</v>
      </c>
      <c r="B29" s="41">
        <v>0</v>
      </c>
      <c r="C29" s="41">
        <v>0.66751557696904795</v>
      </c>
      <c r="D29" s="41">
        <v>0.33248442303095199</v>
      </c>
      <c r="E29" s="25">
        <v>12.746374318547501</v>
      </c>
      <c r="F29" s="25">
        <v>21.3692748645995</v>
      </c>
      <c r="G29" s="42">
        <f t="shared" si="1"/>
        <v>2.0464021155483838</v>
      </c>
      <c r="H29" s="14">
        <v>19</v>
      </c>
    </row>
    <row r="30" spans="1:9" x14ac:dyDescent="0.35">
      <c r="A30" s="23" t="s">
        <v>38</v>
      </c>
      <c r="B30" s="41">
        <v>0.85</v>
      </c>
      <c r="C30" s="41">
        <v>0.1</v>
      </c>
      <c r="D30" s="41">
        <v>0.05</v>
      </c>
      <c r="E30" s="43"/>
      <c r="F30" s="43"/>
      <c r="G30" s="42">
        <f t="shared" si="1"/>
        <v>2.8037383177570097</v>
      </c>
      <c r="H30" s="14">
        <v>20</v>
      </c>
      <c r="I30" s="23" t="s">
        <v>39</v>
      </c>
    </row>
    <row r="31" spans="1:9" x14ac:dyDescent="0.35">
      <c r="A31" s="23" t="s">
        <v>40</v>
      </c>
      <c r="B31" s="41">
        <v>0</v>
      </c>
      <c r="C31" s="41">
        <v>1</v>
      </c>
      <c r="D31" s="41">
        <v>0</v>
      </c>
      <c r="E31" s="25">
        <v>35.029650330189199</v>
      </c>
      <c r="F31" s="25">
        <v>26.6637718538177</v>
      </c>
      <c r="G31" s="42">
        <f t="shared" si="1"/>
        <v>2.5</v>
      </c>
      <c r="H31" s="14">
        <v>21</v>
      </c>
    </row>
    <row r="32" spans="1:9" x14ac:dyDescent="0.35">
      <c r="A32" s="23" t="s">
        <v>41</v>
      </c>
      <c r="B32" s="41">
        <v>0</v>
      </c>
      <c r="C32" s="41">
        <v>1</v>
      </c>
      <c r="D32" s="41">
        <v>0</v>
      </c>
      <c r="E32" s="25">
        <v>29.4064201784525</v>
      </c>
      <c r="F32" s="25">
        <v>31.232057895494201</v>
      </c>
      <c r="G32" s="42">
        <f t="shared" si="1"/>
        <v>2.5</v>
      </c>
      <c r="H32" s="14">
        <v>22</v>
      </c>
      <c r="I32" s="38"/>
    </row>
    <row r="33" spans="1:9" x14ac:dyDescent="0.35">
      <c r="A33" s="23" t="s">
        <v>42</v>
      </c>
      <c r="B33" s="41">
        <v>0</v>
      </c>
      <c r="C33" s="41">
        <v>1</v>
      </c>
      <c r="D33" s="41">
        <v>0</v>
      </c>
      <c r="E33" s="25">
        <v>27.114560046534901</v>
      </c>
      <c r="F33" s="25">
        <v>46.6540126103868</v>
      </c>
      <c r="G33" s="42">
        <f t="shared" si="1"/>
        <v>2.5</v>
      </c>
      <c r="H33" s="14">
        <v>23</v>
      </c>
    </row>
    <row r="34" spans="1:9" x14ac:dyDescent="0.35">
      <c r="A34" s="23" t="s">
        <v>43</v>
      </c>
      <c r="B34" s="41">
        <v>0.85</v>
      </c>
      <c r="C34" s="41">
        <v>0.1</v>
      </c>
      <c r="D34" s="41">
        <v>0.05</v>
      </c>
      <c r="E34" s="43"/>
      <c r="F34" s="43"/>
      <c r="G34" s="42">
        <f t="shared" si="1"/>
        <v>2.8037383177570097</v>
      </c>
      <c r="H34" s="14">
        <v>24</v>
      </c>
      <c r="I34" s="23" t="s">
        <v>39</v>
      </c>
    </row>
    <row r="35" spans="1:9" x14ac:dyDescent="0.35">
      <c r="A35" s="23" t="s">
        <v>44</v>
      </c>
      <c r="B35" s="41">
        <v>0</v>
      </c>
      <c r="C35" s="41">
        <v>1</v>
      </c>
      <c r="D35" s="41">
        <v>0</v>
      </c>
      <c r="E35" s="25">
        <v>4.1340928625468401</v>
      </c>
      <c r="F35" s="25">
        <v>4.8764689030020199</v>
      </c>
      <c r="G35" s="42">
        <f t="shared" si="1"/>
        <v>2.5</v>
      </c>
      <c r="H35" s="14">
        <v>25</v>
      </c>
    </row>
    <row r="36" spans="1:9" x14ac:dyDescent="0.35">
      <c r="A36" s="23" t="s">
        <v>45</v>
      </c>
      <c r="B36" s="41">
        <v>0.27585504856710502</v>
      </c>
      <c r="C36" s="41">
        <v>0.241054009889136</v>
      </c>
      <c r="D36" s="41">
        <v>0.48309094154375898</v>
      </c>
      <c r="E36" s="25">
        <v>47.988607052265301</v>
      </c>
      <c r="F36" s="25">
        <v>21.023731726754502</v>
      </c>
      <c r="G36" s="42">
        <f t="shared" si="1"/>
        <v>1.9591174715838817</v>
      </c>
      <c r="H36" s="14">
        <v>26</v>
      </c>
    </row>
    <row r="37" spans="1:9" x14ac:dyDescent="0.35">
      <c r="B37" s="7"/>
      <c r="C37" s="7"/>
      <c r="D37" s="7"/>
      <c r="E37" s="7"/>
      <c r="F37" s="7"/>
      <c r="G37" s="7"/>
    </row>
    <row r="38" spans="1:9" x14ac:dyDescent="0.35">
      <c r="B38" s="7"/>
      <c r="C38" s="7"/>
      <c r="D38" s="7"/>
      <c r="E38" s="7"/>
      <c r="F38" s="7"/>
      <c r="G38" s="7"/>
    </row>
    <row r="39" spans="1:9" ht="18" customHeight="1" x14ac:dyDescent="0.35">
      <c r="A39" s="33" t="s">
        <v>46</v>
      </c>
    </row>
    <row r="40" spans="1:9" x14ac:dyDescent="0.35">
      <c r="A40" s="9" t="s">
        <v>47</v>
      </c>
    </row>
    <row r="41" spans="1:9" x14ac:dyDescent="0.35">
      <c r="B41" s="69" t="s">
        <v>21</v>
      </c>
      <c r="C41" s="69"/>
      <c r="D41" s="69"/>
    </row>
    <row r="42" spans="1:9" ht="32" customHeight="1" x14ac:dyDescent="0.35">
      <c r="A42" s="22" t="s">
        <v>22</v>
      </c>
      <c r="B42" s="11" t="s">
        <v>23</v>
      </c>
      <c r="C42" s="11" t="s">
        <v>24</v>
      </c>
      <c r="D42" s="11" t="s">
        <v>25</v>
      </c>
      <c r="E42" s="11" t="s">
        <v>26</v>
      </c>
      <c r="F42" s="11" t="s">
        <v>27</v>
      </c>
      <c r="G42" s="11" t="s">
        <v>28</v>
      </c>
      <c r="H42" s="11" t="s">
        <v>29</v>
      </c>
      <c r="I42" s="22" t="s">
        <v>30</v>
      </c>
    </row>
    <row r="43" spans="1:9" x14ac:dyDescent="0.35">
      <c r="A43" s="23" t="s">
        <v>31</v>
      </c>
      <c r="B43" s="41">
        <v>0</v>
      </c>
      <c r="C43" s="41">
        <v>0</v>
      </c>
      <c r="D43" s="41">
        <v>1</v>
      </c>
      <c r="E43" s="25">
        <v>0</v>
      </c>
      <c r="F43" s="25">
        <v>0</v>
      </c>
      <c r="G43" s="42">
        <f>IF(E43=0, $B$8, 1/(B43/$B$6 + C43/$B$7 + D43/$B$8))</f>
        <v>1.5</v>
      </c>
      <c r="H43" s="14">
        <v>14</v>
      </c>
      <c r="I43" s="23" t="s">
        <v>32</v>
      </c>
    </row>
    <row r="44" spans="1:9" x14ac:dyDescent="0.35">
      <c r="A44" s="23" t="s">
        <v>33</v>
      </c>
      <c r="B44" s="41">
        <v>0</v>
      </c>
      <c r="C44" s="41">
        <v>0.340068240223458</v>
      </c>
      <c r="D44" s="41">
        <v>0.65993175977654195</v>
      </c>
      <c r="E44" s="25">
        <v>17.9360194323841</v>
      </c>
      <c r="F44" s="25">
        <v>5.9712811701053798</v>
      </c>
      <c r="G44" s="42">
        <f t="shared" ref="G44:G55" si="2">1/(B44/$B$6 + C44/$B$7 + D44/$B$8)</f>
        <v>1.7361659612746103</v>
      </c>
      <c r="H44" s="14">
        <v>15</v>
      </c>
      <c r="I44" s="38"/>
    </row>
    <row r="45" spans="1:9" x14ac:dyDescent="0.35">
      <c r="A45" s="23" t="s">
        <v>34</v>
      </c>
      <c r="B45" s="41">
        <v>0</v>
      </c>
      <c r="C45" s="41">
        <v>0.18815138665256001</v>
      </c>
      <c r="D45" s="41">
        <v>0.81184861334743996</v>
      </c>
      <c r="E45" s="43"/>
      <c r="F45" s="43"/>
      <c r="G45" s="42">
        <f t="shared" si="2"/>
        <v>1.6220785298610838</v>
      </c>
      <c r="H45" s="14">
        <v>16</v>
      </c>
      <c r="I45" s="23" t="s">
        <v>48</v>
      </c>
    </row>
    <row r="46" spans="1:9" x14ac:dyDescent="0.35">
      <c r="A46" s="23" t="s">
        <v>35</v>
      </c>
      <c r="B46" s="41">
        <v>0</v>
      </c>
      <c r="C46" s="41">
        <v>5.3068824293546202E-2</v>
      </c>
      <c r="D46" s="41">
        <v>0.94693117570645402</v>
      </c>
      <c r="E46" s="25">
        <v>143.84459989142201</v>
      </c>
      <c r="F46" s="25">
        <v>24.494153053216799</v>
      </c>
      <c r="G46" s="42">
        <f t="shared" si="2"/>
        <v>1.5325318657225151</v>
      </c>
      <c r="H46" s="14">
        <v>17</v>
      </c>
    </row>
    <row r="47" spans="1:9" x14ac:dyDescent="0.35">
      <c r="A47" s="23" t="s">
        <v>36</v>
      </c>
      <c r="B47" s="41">
        <v>0</v>
      </c>
      <c r="C47" s="41">
        <v>0.47536976788648799</v>
      </c>
      <c r="D47" s="41">
        <v>0.52463023211351201</v>
      </c>
      <c r="E47" s="25">
        <v>2.0293774526687298</v>
      </c>
      <c r="F47" s="25">
        <v>3.4980940099848201</v>
      </c>
      <c r="G47" s="42">
        <f t="shared" si="2"/>
        <v>1.8521900643977709</v>
      </c>
      <c r="H47" s="14">
        <v>18</v>
      </c>
      <c r="I47" s="38"/>
    </row>
    <row r="48" spans="1:9" x14ac:dyDescent="0.35">
      <c r="A48" s="23" t="s">
        <v>37</v>
      </c>
      <c r="B48" s="41">
        <v>0</v>
      </c>
      <c r="C48" s="41">
        <v>0.47124944685479497</v>
      </c>
      <c r="D48" s="41">
        <v>0.52875055314520503</v>
      </c>
      <c r="E48" s="25">
        <v>8.6434943888170892</v>
      </c>
      <c r="F48" s="25">
        <v>7.67939237671062</v>
      </c>
      <c r="G48" s="42">
        <f t="shared" si="2"/>
        <v>1.8484283315099106</v>
      </c>
      <c r="H48" s="14">
        <v>19</v>
      </c>
    </row>
    <row r="49" spans="1:9" x14ac:dyDescent="0.35">
      <c r="A49" s="23" t="s">
        <v>38</v>
      </c>
      <c r="B49" s="41">
        <v>0.85</v>
      </c>
      <c r="C49" s="41">
        <v>0.1</v>
      </c>
      <c r="D49" s="41">
        <v>0.05</v>
      </c>
      <c r="E49" s="43"/>
      <c r="F49" s="43"/>
      <c r="G49" s="42">
        <f t="shared" si="2"/>
        <v>2.8037383177570097</v>
      </c>
      <c r="H49" s="14">
        <v>20</v>
      </c>
      <c r="I49" s="23" t="s">
        <v>39</v>
      </c>
    </row>
    <row r="50" spans="1:9" x14ac:dyDescent="0.35">
      <c r="A50" s="23" t="s">
        <v>40</v>
      </c>
      <c r="B50" s="41">
        <v>0</v>
      </c>
      <c r="C50" s="41">
        <v>1</v>
      </c>
      <c r="D50" s="41">
        <v>0</v>
      </c>
      <c r="E50" s="25">
        <v>52.778082656812103</v>
      </c>
      <c r="F50" s="25">
        <v>24.428303238903201</v>
      </c>
      <c r="G50" s="42">
        <f t="shared" si="2"/>
        <v>2.5</v>
      </c>
      <c r="H50" s="14">
        <v>21</v>
      </c>
    </row>
    <row r="51" spans="1:9" x14ac:dyDescent="0.35">
      <c r="A51" s="23" t="s">
        <v>41</v>
      </c>
      <c r="B51" s="41">
        <v>0</v>
      </c>
      <c r="C51" s="41">
        <v>1</v>
      </c>
      <c r="D51" s="41">
        <v>0</v>
      </c>
      <c r="E51" s="25">
        <v>2.74677953023782</v>
      </c>
      <c r="F51" s="25">
        <v>2.2879048435062499</v>
      </c>
      <c r="G51" s="42">
        <f t="shared" si="2"/>
        <v>2.5</v>
      </c>
      <c r="H51" s="14">
        <v>22</v>
      </c>
      <c r="I51" s="38"/>
    </row>
    <row r="52" spans="1:9" x14ac:dyDescent="0.35">
      <c r="A52" s="23" t="s">
        <v>42</v>
      </c>
      <c r="B52" s="41">
        <v>0</v>
      </c>
      <c r="C52" s="41">
        <v>1</v>
      </c>
      <c r="D52" s="41">
        <v>0</v>
      </c>
      <c r="E52" s="25">
        <v>450.32998257311101</v>
      </c>
      <c r="F52" s="25">
        <v>71.840713672250004</v>
      </c>
      <c r="G52" s="42">
        <f t="shared" si="2"/>
        <v>2.5</v>
      </c>
      <c r="H52" s="14">
        <v>23</v>
      </c>
    </row>
    <row r="53" spans="1:9" x14ac:dyDescent="0.35">
      <c r="A53" s="23" t="s">
        <v>43</v>
      </c>
      <c r="B53" s="41">
        <v>0.85</v>
      </c>
      <c r="C53" s="41">
        <v>0.1</v>
      </c>
      <c r="D53" s="41">
        <v>0.05</v>
      </c>
      <c r="E53" s="43"/>
      <c r="F53" s="43"/>
      <c r="G53" s="42">
        <f t="shared" si="2"/>
        <v>2.8037383177570097</v>
      </c>
      <c r="H53" s="14">
        <v>24</v>
      </c>
      <c r="I53" s="23" t="s">
        <v>39</v>
      </c>
    </row>
    <row r="54" spans="1:9" x14ac:dyDescent="0.35">
      <c r="A54" s="23" t="s">
        <v>44</v>
      </c>
      <c r="B54" s="41">
        <v>0</v>
      </c>
      <c r="C54" s="41">
        <v>1</v>
      </c>
      <c r="D54" s="41">
        <v>0</v>
      </c>
      <c r="E54" s="25">
        <v>4.6340785791047798</v>
      </c>
      <c r="F54" s="25">
        <v>2.1611493271301798</v>
      </c>
      <c r="G54" s="42">
        <f t="shared" si="2"/>
        <v>2.5</v>
      </c>
      <c r="H54" s="14">
        <v>25</v>
      </c>
    </row>
    <row r="55" spans="1:9" x14ac:dyDescent="0.35">
      <c r="A55" s="23" t="s">
        <v>45</v>
      </c>
      <c r="B55" s="41">
        <v>0.19775495948146099</v>
      </c>
      <c r="C55" s="41">
        <v>0.45421948699671699</v>
      </c>
      <c r="D55" s="41">
        <v>0.34802555352182302</v>
      </c>
      <c r="E55" s="25">
        <v>50.012758894636001</v>
      </c>
      <c r="F55" s="25">
        <v>16.6636715384059</v>
      </c>
      <c r="G55" s="42">
        <f t="shared" si="2"/>
        <v>2.0849702508308821</v>
      </c>
      <c r="H55" s="14">
        <v>26</v>
      </c>
    </row>
    <row r="56" spans="1:9" x14ac:dyDescent="0.35">
      <c r="B56" s="7"/>
      <c r="C56" s="7"/>
      <c r="D56" s="7"/>
      <c r="E56" s="7"/>
      <c r="F56" s="7"/>
      <c r="G56" s="7"/>
    </row>
    <row r="57" spans="1:9" x14ac:dyDescent="0.35">
      <c r="B57" s="7"/>
      <c r="C57" s="7"/>
      <c r="D57" s="7"/>
      <c r="E57" s="7"/>
      <c r="F57" s="7"/>
      <c r="G57" s="7"/>
    </row>
    <row r="58" spans="1:9" ht="18" customHeight="1" x14ac:dyDescent="0.35">
      <c r="A58" s="33" t="s">
        <v>49</v>
      </c>
    </row>
    <row r="59" spans="1:9" x14ac:dyDescent="0.35">
      <c r="A59" s="9" t="s">
        <v>50</v>
      </c>
    </row>
    <row r="60" spans="1:9" x14ac:dyDescent="0.35">
      <c r="B60" s="69" t="s">
        <v>21</v>
      </c>
      <c r="C60" s="69"/>
      <c r="D60" s="69"/>
    </row>
    <row r="61" spans="1:9" ht="32" customHeight="1" x14ac:dyDescent="0.35">
      <c r="A61" s="22" t="s">
        <v>22</v>
      </c>
      <c r="B61" s="11" t="s">
        <v>23</v>
      </c>
      <c r="C61" s="11" t="s">
        <v>24</v>
      </c>
      <c r="D61" s="11" t="s">
        <v>25</v>
      </c>
      <c r="E61" s="11" t="s">
        <v>26</v>
      </c>
      <c r="F61" s="11" t="s">
        <v>27</v>
      </c>
      <c r="G61" s="11" t="s">
        <v>28</v>
      </c>
      <c r="H61" s="11" t="s">
        <v>29</v>
      </c>
      <c r="I61" s="22" t="s">
        <v>30</v>
      </c>
    </row>
    <row r="62" spans="1:9" x14ac:dyDescent="0.35">
      <c r="A62" s="23" t="s">
        <v>31</v>
      </c>
      <c r="B62" s="41">
        <v>0</v>
      </c>
      <c r="C62" s="41">
        <v>0</v>
      </c>
      <c r="D62" s="41">
        <v>1</v>
      </c>
      <c r="E62" s="25">
        <v>0</v>
      </c>
      <c r="F62" s="25">
        <v>0</v>
      </c>
      <c r="G62" s="42">
        <f>IF(E62=0, $B$8, 1/(B62/$B$6 + C62/$B$7 + D62/$B$8))</f>
        <v>1.5</v>
      </c>
      <c r="H62" s="14">
        <v>14</v>
      </c>
      <c r="I62" s="23" t="s">
        <v>32</v>
      </c>
    </row>
    <row r="63" spans="1:9" x14ac:dyDescent="0.35">
      <c r="A63" s="23" t="s">
        <v>33</v>
      </c>
      <c r="B63" s="41">
        <v>0</v>
      </c>
      <c r="C63" s="41">
        <v>0.17467109626709099</v>
      </c>
      <c r="D63" s="41">
        <v>0.82532890373290901</v>
      </c>
      <c r="E63" s="25">
        <v>1071.7029000499199</v>
      </c>
      <c r="F63" s="25">
        <v>63.559759244094401</v>
      </c>
      <c r="G63" s="42">
        <f t="shared" ref="G63:G74" si="3">1/(B63/$B$6 + C63/$B$7 + D63/$B$8)</f>
        <v>1.6126750903840015</v>
      </c>
      <c r="H63" s="14">
        <v>15</v>
      </c>
      <c r="I63" s="38"/>
    </row>
    <row r="64" spans="1:9" x14ac:dyDescent="0.35">
      <c r="A64" s="23" t="s">
        <v>34</v>
      </c>
      <c r="B64" s="41">
        <v>0</v>
      </c>
      <c r="C64" s="41">
        <v>0.18815138665256001</v>
      </c>
      <c r="D64" s="41">
        <v>0.81184861334743996</v>
      </c>
      <c r="E64" s="43"/>
      <c r="F64" s="43"/>
      <c r="G64" s="42">
        <f t="shared" si="3"/>
        <v>1.6220785298610838</v>
      </c>
      <c r="H64" s="14">
        <v>16</v>
      </c>
      <c r="I64" s="23" t="s">
        <v>48</v>
      </c>
    </row>
    <row r="65" spans="1:9" x14ac:dyDescent="0.35">
      <c r="A65" s="23" t="s">
        <v>35</v>
      </c>
      <c r="B65" s="41">
        <v>0</v>
      </c>
      <c r="C65" s="41">
        <v>5.0737403917010503E-2</v>
      </c>
      <c r="D65" s="41">
        <v>0.94926259608298902</v>
      </c>
      <c r="E65" s="25">
        <v>133.57077381594101</v>
      </c>
      <c r="F65" s="25">
        <v>23.443680136864501</v>
      </c>
      <c r="G65" s="42">
        <f t="shared" si="3"/>
        <v>1.5310730690932164</v>
      </c>
      <c r="H65" s="14">
        <v>17</v>
      </c>
    </row>
    <row r="66" spans="1:9" x14ac:dyDescent="0.35">
      <c r="A66" s="23" t="s">
        <v>36</v>
      </c>
      <c r="B66" s="41">
        <v>0</v>
      </c>
      <c r="C66" s="41">
        <v>0.44030543820170198</v>
      </c>
      <c r="D66" s="41">
        <v>0.55969456179829802</v>
      </c>
      <c r="E66" s="25">
        <v>2.2809657750558698</v>
      </c>
      <c r="F66" s="25">
        <v>3.92089423949743</v>
      </c>
      <c r="G66" s="42">
        <f t="shared" si="3"/>
        <v>1.8206583002898808</v>
      </c>
      <c r="H66" s="14">
        <v>18</v>
      </c>
      <c r="I66" s="38"/>
    </row>
    <row r="67" spans="1:9" x14ac:dyDescent="0.35">
      <c r="A67" s="23" t="s">
        <v>37</v>
      </c>
      <c r="B67" s="41">
        <v>0</v>
      </c>
      <c r="C67" s="41">
        <v>0.47124944685479497</v>
      </c>
      <c r="D67" s="41">
        <v>0.52875055314520503</v>
      </c>
      <c r="E67" s="25">
        <v>12.656108942331301</v>
      </c>
      <c r="F67" s="25">
        <v>22.629693322483099</v>
      </c>
      <c r="G67" s="42">
        <f t="shared" si="3"/>
        <v>1.8484283315099106</v>
      </c>
      <c r="H67" s="14">
        <v>19</v>
      </c>
    </row>
    <row r="68" spans="1:9" x14ac:dyDescent="0.35">
      <c r="A68" s="23" t="s">
        <v>38</v>
      </c>
      <c r="B68" s="41">
        <v>0.85</v>
      </c>
      <c r="C68" s="41">
        <v>0.1</v>
      </c>
      <c r="D68" s="41">
        <v>0.05</v>
      </c>
      <c r="E68" s="43"/>
      <c r="F68" s="43"/>
      <c r="G68" s="42">
        <f t="shared" si="3"/>
        <v>2.8037383177570097</v>
      </c>
      <c r="H68" s="14">
        <v>20</v>
      </c>
      <c r="I68" s="23" t="s">
        <v>39</v>
      </c>
    </row>
    <row r="69" spans="1:9" x14ac:dyDescent="0.35">
      <c r="A69" s="23" t="s">
        <v>40</v>
      </c>
      <c r="B69" s="41">
        <v>0</v>
      </c>
      <c r="C69" s="41">
        <v>1</v>
      </c>
      <c r="D69" s="41">
        <v>0</v>
      </c>
      <c r="E69" s="25">
        <v>121.88034436142701</v>
      </c>
      <c r="F69" s="25">
        <v>67.4663227278552</v>
      </c>
      <c r="G69" s="42">
        <f t="shared" si="3"/>
        <v>2.5</v>
      </c>
      <c r="H69" s="14">
        <v>21</v>
      </c>
    </row>
    <row r="70" spans="1:9" x14ac:dyDescent="0.35">
      <c r="A70" s="23" t="s">
        <v>41</v>
      </c>
      <c r="B70" s="41">
        <v>0</v>
      </c>
      <c r="C70" s="41">
        <v>1</v>
      </c>
      <c r="D70" s="41">
        <v>0</v>
      </c>
      <c r="E70" s="25">
        <v>33.503686870490199</v>
      </c>
      <c r="F70" s="25">
        <v>17.408999712582101</v>
      </c>
      <c r="G70" s="42">
        <f t="shared" si="3"/>
        <v>2.5</v>
      </c>
      <c r="H70" s="14">
        <v>22</v>
      </c>
      <c r="I70" s="38"/>
    </row>
    <row r="71" spans="1:9" x14ac:dyDescent="0.35">
      <c r="A71" s="23" t="s">
        <v>42</v>
      </c>
      <c r="B71" s="41">
        <v>0</v>
      </c>
      <c r="C71" s="41">
        <v>1</v>
      </c>
      <c r="D71" s="41">
        <v>0</v>
      </c>
      <c r="E71" s="25">
        <v>67.6781405165747</v>
      </c>
      <c r="F71" s="25">
        <v>32.262826023968699</v>
      </c>
      <c r="G71" s="42">
        <f t="shared" si="3"/>
        <v>2.5</v>
      </c>
      <c r="H71" s="14">
        <v>23</v>
      </c>
    </row>
    <row r="72" spans="1:9" x14ac:dyDescent="0.35">
      <c r="A72" s="23" t="s">
        <v>43</v>
      </c>
      <c r="B72" s="41">
        <v>0.85</v>
      </c>
      <c r="C72" s="41">
        <v>0.1</v>
      </c>
      <c r="D72" s="41">
        <v>0.05</v>
      </c>
      <c r="E72" s="43"/>
      <c r="F72" s="43"/>
      <c r="G72" s="42">
        <f t="shared" si="3"/>
        <v>2.8037383177570097</v>
      </c>
      <c r="H72" s="14">
        <v>24</v>
      </c>
      <c r="I72" s="23" t="s">
        <v>39</v>
      </c>
    </row>
    <row r="73" spans="1:9" x14ac:dyDescent="0.35">
      <c r="A73" s="23" t="s">
        <v>44</v>
      </c>
      <c r="B73" s="41">
        <v>0</v>
      </c>
      <c r="C73" s="41">
        <v>1</v>
      </c>
      <c r="D73" s="41">
        <v>0</v>
      </c>
      <c r="E73" s="25">
        <v>17.712928935975398</v>
      </c>
      <c r="F73" s="25">
        <v>12.6698194333504</v>
      </c>
      <c r="G73" s="42">
        <f t="shared" si="3"/>
        <v>2.5</v>
      </c>
      <c r="H73" s="14">
        <v>25</v>
      </c>
    </row>
    <row r="74" spans="1:9" x14ac:dyDescent="0.35">
      <c r="A74" s="23" t="s">
        <v>45</v>
      </c>
      <c r="B74" s="41">
        <v>0.14920253202485301</v>
      </c>
      <c r="C74" s="41">
        <v>0.415159020452262</v>
      </c>
      <c r="D74" s="41">
        <v>0.435638447522885</v>
      </c>
      <c r="E74" s="25">
        <v>59.993643425972003</v>
      </c>
      <c r="F74" s="25">
        <v>73.642877613223206</v>
      </c>
      <c r="G74" s="42">
        <f t="shared" si="3"/>
        <v>1.9754123693494317</v>
      </c>
      <c r="H74" s="14">
        <v>26</v>
      </c>
    </row>
    <row r="75" spans="1:9" x14ac:dyDescent="0.35">
      <c r="B75" s="7"/>
      <c r="C75" s="7"/>
      <c r="D75" s="7"/>
      <c r="E75" s="7"/>
      <c r="F75" s="7"/>
      <c r="G75" s="7"/>
    </row>
    <row r="77" spans="1:9" ht="18" customHeight="1" x14ac:dyDescent="0.35">
      <c r="A77" s="33" t="s">
        <v>51</v>
      </c>
    </row>
    <row r="78" spans="1:9" x14ac:dyDescent="0.35">
      <c r="A78" s="26" t="s">
        <v>52</v>
      </c>
    </row>
    <row r="79" spans="1:9" x14ac:dyDescent="0.35">
      <c r="A79" s="26" t="s">
        <v>53</v>
      </c>
    </row>
    <row r="80" spans="1:9" x14ac:dyDescent="0.35">
      <c r="A80" s="26" t="s">
        <v>54</v>
      </c>
    </row>
    <row r="81" spans="1:1" x14ac:dyDescent="0.35">
      <c r="A81" s="26" t="s">
        <v>55</v>
      </c>
    </row>
    <row r="82" spans="1:1" x14ac:dyDescent="0.35">
      <c r="A82" s="26" t="s">
        <v>56</v>
      </c>
    </row>
    <row r="84" spans="1:1" x14ac:dyDescent="0.35">
      <c r="A84" s="9" t="s">
        <v>57</v>
      </c>
    </row>
    <row r="85" spans="1:1" x14ac:dyDescent="0.35">
      <c r="A85" s="26" t="s">
        <v>58</v>
      </c>
    </row>
    <row r="86" spans="1:1" x14ac:dyDescent="0.35">
      <c r="A86" s="26" t="s">
        <v>59</v>
      </c>
    </row>
    <row r="87" spans="1:1" x14ac:dyDescent="0.35">
      <c r="A87" s="26" t="s">
        <v>60</v>
      </c>
    </row>
    <row r="88" spans="1:1" x14ac:dyDescent="0.35">
      <c r="A88" s="26" t="s">
        <v>61</v>
      </c>
    </row>
    <row r="89" spans="1:1" x14ac:dyDescent="0.35">
      <c r="A89" s="9" t="s">
        <v>62</v>
      </c>
    </row>
    <row r="90" spans="1:1" x14ac:dyDescent="0.35">
      <c r="A90" s="26" t="s">
        <v>63</v>
      </c>
    </row>
    <row r="91" spans="1:1" x14ac:dyDescent="0.35">
      <c r="A91" s="26" t="s">
        <v>64</v>
      </c>
    </row>
    <row r="93" spans="1:1" ht="18" customHeight="1" x14ac:dyDescent="0.35">
      <c r="A93" s="33" t="s">
        <v>65</v>
      </c>
    </row>
    <row r="94" spans="1:1" x14ac:dyDescent="0.35">
      <c r="A94" s="26" t="s">
        <v>66</v>
      </c>
    </row>
    <row r="95" spans="1:1" x14ac:dyDescent="0.35">
      <c r="A95" s="26" t="s">
        <v>67</v>
      </c>
    </row>
    <row r="96" spans="1:1" x14ac:dyDescent="0.35">
      <c r="A96" s="9" t="s">
        <v>68</v>
      </c>
    </row>
  </sheetData>
  <mergeCells count="4">
    <mergeCell ref="B22:D22"/>
    <mergeCell ref="B41:D41"/>
    <mergeCell ref="B60:D60"/>
    <mergeCell ref="A17:I19"/>
  </mergeCells>
  <hyperlinks>
    <hyperlink ref="D6" r:id="rId1" display="https://fiw.hs-wismar.de/storages/hs-wismar/_FIW/Bereich_EUI/AB_AET/Professoren/Wego/Diesel_vs._Electric_-_An_energy_analysis_after_three_years_of_driving.pdf" xr:uid="{0736927C-6C2D-497C-8D5F-823AEF83274A}"/>
    <hyperlink ref="D7" r:id="rId2" display="https://www.iea.org/reports/the-future-of-heat-pumps/how-a-heat-pump-works" xr:uid="{98F893AE-EF1F-4FD1-A1A1-621B2B53D335}"/>
    <hyperlink ref="D8" r:id="rId3" display="https://www.san-lan.com/de/faq/energy-saving-electric-furnace-vs-traditional-melting-furnace-energy-consumption-comparison.html" xr:uid="{88379EAA-3597-47D3-BD5F-B4C6532A84E4}"/>
  </hyperlinks>
  <pageMargins left="0.75" right="0.75" top="1" bottom="1" header="0.511811023622047" footer="0.511811023622047"/>
  <pageSetup paperSize="9" orientation="portrait" horizontalDpi="300" verticalDpi="300"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FAF8C"/>
  </sheetPr>
  <dimension ref="A1:S56"/>
  <sheetViews>
    <sheetView showGridLines="0" zoomScaleNormal="100" workbookViewId="0">
      <selection activeCell="J10" sqref="J10"/>
    </sheetView>
  </sheetViews>
  <sheetFormatPr defaultColWidth="8.54296875" defaultRowHeight="14.5" x14ac:dyDescent="0.35"/>
  <cols>
    <col min="1" max="1" width="8.1796875" customWidth="1"/>
    <col min="2" max="2" width="10.7265625" customWidth="1"/>
    <col min="5" max="5" width="13.1796875" customWidth="1"/>
    <col min="8" max="8" width="10.7265625" customWidth="1"/>
  </cols>
  <sheetData>
    <row r="1" spans="1:8" x14ac:dyDescent="0.35">
      <c r="A1" s="78" t="s">
        <v>69</v>
      </c>
      <c r="B1" s="78"/>
      <c r="C1" s="7"/>
      <c r="D1" s="78" t="s">
        <v>16</v>
      </c>
      <c r="E1" s="78"/>
      <c r="G1" s="78" t="s">
        <v>17</v>
      </c>
      <c r="H1" s="78"/>
    </row>
    <row r="2" spans="1:8" ht="19" customHeight="1" x14ac:dyDescent="0.35">
      <c r="A2" s="11" t="s">
        <v>70</v>
      </c>
      <c r="B2" s="11" t="s">
        <v>71</v>
      </c>
      <c r="C2" s="7"/>
      <c r="D2" s="11" t="s">
        <v>72</v>
      </c>
      <c r="E2" s="11" t="s">
        <v>71</v>
      </c>
      <c r="G2" s="11" t="s">
        <v>73</v>
      </c>
      <c r="H2" s="11" t="s">
        <v>71</v>
      </c>
    </row>
    <row r="3" spans="1:8" x14ac:dyDescent="0.35">
      <c r="A3" s="17">
        <v>2000</v>
      </c>
      <c r="B3" s="13">
        <v>1401250</v>
      </c>
      <c r="C3" s="7"/>
      <c r="D3" s="17">
        <v>2000</v>
      </c>
      <c r="E3" s="13">
        <v>2367550</v>
      </c>
      <c r="G3" s="17">
        <v>2000</v>
      </c>
      <c r="H3" s="13">
        <v>3697838</v>
      </c>
    </row>
    <row r="4" spans="1:8" x14ac:dyDescent="0.35">
      <c r="A4" s="17">
        <v>2001</v>
      </c>
      <c r="B4" s="13">
        <v>1392720</v>
      </c>
      <c r="C4" s="7"/>
      <c r="D4" s="17">
        <v>2001</v>
      </c>
      <c r="E4" s="13">
        <v>2337170</v>
      </c>
      <c r="G4" s="17">
        <v>2001</v>
      </c>
      <c r="H4" s="13">
        <v>3499536</v>
      </c>
    </row>
    <row r="5" spans="1:8" x14ac:dyDescent="0.35">
      <c r="A5" s="17">
        <v>2002</v>
      </c>
      <c r="B5" s="13">
        <v>1383510</v>
      </c>
      <c r="C5" s="7"/>
      <c r="D5" s="17">
        <v>2002</v>
      </c>
      <c r="E5" s="13">
        <v>2310173</v>
      </c>
      <c r="G5" s="17">
        <v>2002</v>
      </c>
      <c r="H5" s="13">
        <v>2937253</v>
      </c>
    </row>
    <row r="6" spans="1:8" x14ac:dyDescent="0.35">
      <c r="A6" s="17">
        <v>2003</v>
      </c>
      <c r="B6" s="13">
        <v>1375190</v>
      </c>
      <c r="C6" s="7"/>
      <c r="D6" s="17">
        <v>2003</v>
      </c>
      <c r="E6" s="13">
        <v>2287955</v>
      </c>
      <c r="G6" s="17">
        <v>2003</v>
      </c>
      <c r="H6" s="13">
        <v>2911109</v>
      </c>
    </row>
    <row r="7" spans="1:8" x14ac:dyDescent="0.35">
      <c r="A7" s="17">
        <v>2004</v>
      </c>
      <c r="B7" s="13">
        <v>1366250</v>
      </c>
      <c r="C7" s="7"/>
      <c r="D7" s="17">
        <v>2004</v>
      </c>
      <c r="E7" s="13">
        <v>2263122</v>
      </c>
      <c r="G7" s="17">
        <v>2004</v>
      </c>
      <c r="H7" s="13">
        <v>2877325</v>
      </c>
    </row>
    <row r="8" spans="1:8" x14ac:dyDescent="0.35">
      <c r="A8" s="17">
        <v>2005</v>
      </c>
      <c r="B8" s="13">
        <v>1358850</v>
      </c>
      <c r="C8" s="7"/>
      <c r="D8" s="17">
        <v>2005</v>
      </c>
      <c r="E8" s="13">
        <v>2238799</v>
      </c>
      <c r="G8" s="17">
        <v>2005</v>
      </c>
      <c r="H8" s="13">
        <v>2842639</v>
      </c>
    </row>
    <row r="9" spans="1:8" x14ac:dyDescent="0.35">
      <c r="A9" s="17">
        <v>2006</v>
      </c>
      <c r="B9" s="13">
        <v>1350700</v>
      </c>
      <c r="C9" s="7"/>
      <c r="D9" s="17">
        <v>2006</v>
      </c>
      <c r="E9" s="13">
        <v>2218357</v>
      </c>
      <c r="G9" s="17">
        <v>2006</v>
      </c>
      <c r="H9" s="13">
        <v>2819200</v>
      </c>
    </row>
    <row r="10" spans="1:8" x14ac:dyDescent="0.35">
      <c r="A10" s="17">
        <v>2007</v>
      </c>
      <c r="B10" s="13">
        <v>1342920</v>
      </c>
      <c r="C10" s="7"/>
      <c r="D10" s="17">
        <v>2007</v>
      </c>
      <c r="E10" s="13">
        <v>2200325</v>
      </c>
      <c r="G10" s="17">
        <v>2007</v>
      </c>
      <c r="H10" s="13">
        <v>2811089</v>
      </c>
    </row>
    <row r="11" spans="1:8" x14ac:dyDescent="0.35">
      <c r="A11" s="17">
        <v>2008</v>
      </c>
      <c r="B11" s="13">
        <v>1338440</v>
      </c>
      <c r="C11" s="7"/>
      <c r="D11" s="17">
        <v>2008</v>
      </c>
      <c r="E11" s="13">
        <v>2177322</v>
      </c>
      <c r="G11" s="17">
        <v>2008</v>
      </c>
      <c r="H11" s="13">
        <v>2810369</v>
      </c>
    </row>
    <row r="12" spans="1:8" x14ac:dyDescent="0.35">
      <c r="A12" s="17">
        <v>2009</v>
      </c>
      <c r="B12" s="13">
        <v>1335740</v>
      </c>
      <c r="C12" s="7"/>
      <c r="D12" s="17">
        <v>2009</v>
      </c>
      <c r="E12" s="13">
        <v>2141669</v>
      </c>
      <c r="G12" s="17">
        <v>2009</v>
      </c>
      <c r="H12" s="13">
        <v>2808380</v>
      </c>
    </row>
    <row r="13" spans="1:8" x14ac:dyDescent="0.35">
      <c r="A13" s="17">
        <v>2010</v>
      </c>
      <c r="B13" s="13">
        <v>1333290</v>
      </c>
      <c r="C13" s="7"/>
      <c r="D13" s="17">
        <v>2010</v>
      </c>
      <c r="E13" s="13">
        <v>2097555</v>
      </c>
      <c r="G13" s="17">
        <v>2010</v>
      </c>
      <c r="H13" s="13">
        <v>2810369</v>
      </c>
    </row>
    <row r="14" spans="1:8" x14ac:dyDescent="0.35">
      <c r="A14" s="17">
        <v>2011</v>
      </c>
      <c r="B14" s="13">
        <v>1329660</v>
      </c>
      <c r="C14" s="7"/>
      <c r="D14" s="17">
        <v>2011</v>
      </c>
      <c r="E14" s="13">
        <v>2059709</v>
      </c>
      <c r="G14" s="17">
        <v>2011</v>
      </c>
      <c r="H14" s="13">
        <v>2808380</v>
      </c>
    </row>
    <row r="15" spans="1:8" x14ac:dyDescent="0.35">
      <c r="A15" s="17">
        <v>2012</v>
      </c>
      <c r="B15" s="13">
        <v>1325217</v>
      </c>
      <c r="C15" s="7"/>
      <c r="D15" s="17">
        <v>2012</v>
      </c>
      <c r="E15" s="13">
        <v>2034319</v>
      </c>
      <c r="G15" s="17">
        <v>2012</v>
      </c>
      <c r="H15" s="13">
        <v>2831639</v>
      </c>
    </row>
    <row r="16" spans="1:8" x14ac:dyDescent="0.35">
      <c r="A16" s="17">
        <v>2013</v>
      </c>
      <c r="B16" s="13">
        <v>1320174</v>
      </c>
      <c r="C16" s="7"/>
      <c r="D16" s="17">
        <v>2013</v>
      </c>
      <c r="E16" s="13">
        <v>2012647</v>
      </c>
      <c r="G16" s="17">
        <v>2013</v>
      </c>
      <c r="H16" s="13">
        <v>2871585</v>
      </c>
    </row>
    <row r="17" spans="1:14" x14ac:dyDescent="0.35">
      <c r="A17" s="17">
        <v>2014</v>
      </c>
      <c r="B17" s="13">
        <v>1315819</v>
      </c>
      <c r="C17" s="7"/>
      <c r="D17" s="17">
        <v>2014</v>
      </c>
      <c r="E17" s="13">
        <v>1993782</v>
      </c>
      <c r="G17" s="17">
        <v>2014</v>
      </c>
      <c r="H17" s="13">
        <v>2947862</v>
      </c>
    </row>
    <row r="18" spans="1:14" x14ac:dyDescent="0.35">
      <c r="A18" s="17">
        <v>2015</v>
      </c>
      <c r="B18" s="13">
        <v>1313271</v>
      </c>
      <c r="C18" s="7"/>
      <c r="D18" s="17">
        <v>2015</v>
      </c>
      <c r="E18" s="13">
        <v>1977527</v>
      </c>
      <c r="G18" s="17">
        <v>2015</v>
      </c>
      <c r="H18" s="13">
        <v>2926644</v>
      </c>
    </row>
    <row r="19" spans="1:14" x14ac:dyDescent="0.35">
      <c r="A19" s="17">
        <v>2016</v>
      </c>
      <c r="B19" s="13">
        <v>1315944</v>
      </c>
      <c r="C19" s="7"/>
      <c r="D19" s="17">
        <v>2016</v>
      </c>
      <c r="E19" s="13">
        <v>1959537</v>
      </c>
      <c r="G19" s="17">
        <v>2016</v>
      </c>
      <c r="H19" s="13">
        <v>2895573</v>
      </c>
    </row>
    <row r="20" spans="1:14" x14ac:dyDescent="0.35">
      <c r="A20" s="17">
        <v>2017</v>
      </c>
      <c r="B20" s="13">
        <v>1315635</v>
      </c>
      <c r="C20" s="7"/>
      <c r="D20" s="17">
        <v>2017</v>
      </c>
      <c r="E20" s="13">
        <v>1942248</v>
      </c>
      <c r="G20" s="17">
        <v>2017</v>
      </c>
      <c r="H20" s="13">
        <v>2859077</v>
      </c>
    </row>
    <row r="21" spans="1:14" x14ac:dyDescent="0.35">
      <c r="A21" s="17">
        <v>2018</v>
      </c>
      <c r="B21" s="13">
        <v>1319133</v>
      </c>
      <c r="C21" s="7"/>
      <c r="D21" s="17">
        <v>2018</v>
      </c>
      <c r="E21" s="13">
        <v>1927174</v>
      </c>
      <c r="G21" s="17">
        <v>2018</v>
      </c>
      <c r="H21" s="13">
        <v>2826200</v>
      </c>
    </row>
    <row r="22" spans="1:14" x14ac:dyDescent="0.35">
      <c r="A22" s="17">
        <v>2019</v>
      </c>
      <c r="B22" s="13">
        <v>1324820</v>
      </c>
      <c r="C22" s="7"/>
      <c r="D22" s="17">
        <v>2019</v>
      </c>
      <c r="E22" s="13">
        <v>1913822</v>
      </c>
      <c r="G22" s="17">
        <v>2019</v>
      </c>
      <c r="H22" s="13">
        <v>2812200</v>
      </c>
    </row>
    <row r="23" spans="1:14" x14ac:dyDescent="0.35">
      <c r="A23" s="17">
        <v>2020</v>
      </c>
      <c r="B23" s="14" t="s">
        <v>74</v>
      </c>
      <c r="C23" s="7"/>
      <c r="D23" s="17">
        <v>2020</v>
      </c>
      <c r="E23" s="13">
        <v>1900449</v>
      </c>
      <c r="G23" s="17">
        <v>2020</v>
      </c>
      <c r="H23" s="13">
        <v>2809977</v>
      </c>
    </row>
    <row r="24" spans="1:14" x14ac:dyDescent="0.35">
      <c r="A24" s="17">
        <v>2021</v>
      </c>
      <c r="B24" s="14" t="s">
        <v>75</v>
      </c>
      <c r="C24" s="7"/>
      <c r="D24" s="17">
        <v>2021</v>
      </c>
      <c r="E24" s="13">
        <v>1884490</v>
      </c>
      <c r="G24" s="17">
        <v>2021</v>
      </c>
      <c r="H24" s="13">
        <v>2810761</v>
      </c>
    </row>
    <row r="25" spans="1:14" x14ac:dyDescent="0.35">
      <c r="A25" s="17">
        <v>2022</v>
      </c>
      <c r="B25" s="14" t="s">
        <v>76</v>
      </c>
      <c r="C25" s="7"/>
      <c r="D25" s="17">
        <v>2022</v>
      </c>
      <c r="E25" s="13">
        <v>1879383</v>
      </c>
      <c r="G25" s="17">
        <v>2022</v>
      </c>
      <c r="H25" s="13">
        <v>2805998</v>
      </c>
    </row>
    <row r="26" spans="1:14" x14ac:dyDescent="0.35">
      <c r="A26" s="17">
        <v>2023</v>
      </c>
      <c r="B26" s="14" t="s">
        <v>77</v>
      </c>
      <c r="C26" s="7"/>
      <c r="D26" s="17">
        <v>2023</v>
      </c>
      <c r="E26" s="13">
        <v>1883710</v>
      </c>
      <c r="G26" s="17">
        <v>2023</v>
      </c>
      <c r="H26" s="13">
        <v>2857279</v>
      </c>
    </row>
    <row r="27" spans="1:14" x14ac:dyDescent="0.35">
      <c r="A27" s="17">
        <v>2024</v>
      </c>
      <c r="B27" s="14" t="s">
        <v>78</v>
      </c>
      <c r="C27" s="7"/>
      <c r="D27" s="17">
        <v>2024</v>
      </c>
      <c r="E27" s="13">
        <v>1866124</v>
      </c>
      <c r="G27" s="17">
        <v>2024</v>
      </c>
      <c r="H27" s="13">
        <v>2885891</v>
      </c>
    </row>
    <row r="28" spans="1:14" x14ac:dyDescent="0.35">
      <c r="A28" s="17">
        <v>2025</v>
      </c>
      <c r="B28" s="14" t="s">
        <v>79</v>
      </c>
      <c r="C28" s="7"/>
      <c r="D28" s="17">
        <v>2025</v>
      </c>
      <c r="E28" s="13">
        <v>1863089</v>
      </c>
      <c r="G28" s="17">
        <v>2025</v>
      </c>
      <c r="H28" s="13">
        <v>2890664</v>
      </c>
    </row>
    <row r="29" spans="1:14" x14ac:dyDescent="0.35">
      <c r="A29" s="17">
        <v>2026</v>
      </c>
      <c r="B29" s="14" t="s">
        <v>80</v>
      </c>
      <c r="C29" s="7"/>
      <c r="D29" s="17">
        <v>2026</v>
      </c>
      <c r="E29" s="13">
        <v>1842409</v>
      </c>
      <c r="G29" s="17">
        <v>2026</v>
      </c>
      <c r="H29" s="13">
        <v>2886883</v>
      </c>
    </row>
    <row r="30" spans="1:14" x14ac:dyDescent="0.35">
      <c r="A30" s="17">
        <v>2027</v>
      </c>
      <c r="B30" s="14" t="s">
        <v>81</v>
      </c>
      <c r="C30" s="7"/>
      <c r="D30" s="17">
        <v>2027</v>
      </c>
      <c r="E30" s="13">
        <v>1821191</v>
      </c>
      <c r="G30" s="17">
        <v>2027</v>
      </c>
      <c r="H30" s="13">
        <v>2878765</v>
      </c>
    </row>
    <row r="31" spans="1:14" x14ac:dyDescent="0.35">
      <c r="A31" s="17">
        <v>2028</v>
      </c>
      <c r="B31" s="14" t="s">
        <v>82</v>
      </c>
      <c r="C31" s="7"/>
      <c r="D31" s="17">
        <v>2028</v>
      </c>
      <c r="E31" s="13">
        <v>1799221</v>
      </c>
      <c r="G31" s="17">
        <v>2028</v>
      </c>
      <c r="H31" s="13">
        <v>2871538</v>
      </c>
    </row>
    <row r="32" spans="1:14" x14ac:dyDescent="0.35">
      <c r="A32" s="17">
        <v>2029</v>
      </c>
      <c r="B32" s="14" t="s">
        <v>83</v>
      </c>
      <c r="C32" s="7"/>
      <c r="D32" s="17">
        <v>2029</v>
      </c>
      <c r="E32" s="13">
        <v>1777599</v>
      </c>
      <c r="G32" s="17">
        <v>2029</v>
      </c>
      <c r="H32" s="13">
        <v>2863363</v>
      </c>
      <c r="J32" s="7"/>
      <c r="K32" s="7"/>
      <c r="L32" s="7"/>
      <c r="M32" s="7"/>
      <c r="N32" s="7"/>
    </row>
    <row r="33" spans="1:8" x14ac:dyDescent="0.35">
      <c r="A33" s="17">
        <v>2030</v>
      </c>
      <c r="B33" s="14" t="s">
        <v>84</v>
      </c>
      <c r="C33" s="7"/>
      <c r="D33" s="17">
        <v>2030</v>
      </c>
      <c r="E33" s="13">
        <v>1756334</v>
      </c>
      <c r="G33" s="17">
        <v>2030</v>
      </c>
      <c r="H33" s="13">
        <v>2854217</v>
      </c>
    </row>
    <row r="34" spans="1:8" x14ac:dyDescent="0.35">
      <c r="A34" s="17">
        <v>2031</v>
      </c>
      <c r="B34" s="14" t="s">
        <v>85</v>
      </c>
      <c r="C34" s="7"/>
      <c r="D34" s="17">
        <v>2031</v>
      </c>
      <c r="E34" s="13">
        <v>1735494</v>
      </c>
      <c r="G34" s="17">
        <v>2031</v>
      </c>
      <c r="H34" s="13">
        <v>2844070</v>
      </c>
    </row>
    <row r="35" spans="1:8" x14ac:dyDescent="0.35">
      <c r="A35" s="17">
        <v>2032</v>
      </c>
      <c r="B35" s="14" t="s">
        <v>86</v>
      </c>
      <c r="C35" s="7"/>
      <c r="D35" s="17">
        <v>2032</v>
      </c>
      <c r="E35" s="13">
        <v>1715311</v>
      </c>
      <c r="G35" s="17">
        <v>2032</v>
      </c>
      <c r="H35" s="13">
        <v>2834097</v>
      </c>
    </row>
    <row r="36" spans="1:8" x14ac:dyDescent="0.35">
      <c r="A36" s="17">
        <v>2033</v>
      </c>
      <c r="B36" s="14" t="s">
        <v>87</v>
      </c>
      <c r="C36" s="7"/>
      <c r="D36" s="17">
        <v>2033</v>
      </c>
      <c r="E36" s="13">
        <v>1695872</v>
      </c>
      <c r="G36" s="17">
        <v>2033</v>
      </c>
      <c r="H36" s="13">
        <v>2824307</v>
      </c>
    </row>
    <row r="37" spans="1:8" x14ac:dyDescent="0.35">
      <c r="A37" s="17">
        <v>2034</v>
      </c>
      <c r="B37" s="14" t="s">
        <v>88</v>
      </c>
      <c r="C37" s="7"/>
      <c r="D37" s="17">
        <v>2034</v>
      </c>
      <c r="E37" s="13">
        <v>1677235</v>
      </c>
      <c r="G37" s="17">
        <v>2034</v>
      </c>
      <c r="H37" s="13">
        <v>2814742</v>
      </c>
    </row>
    <row r="38" spans="1:8" x14ac:dyDescent="0.35">
      <c r="A38" s="17">
        <v>2035</v>
      </c>
      <c r="B38" s="14" t="s">
        <v>89</v>
      </c>
      <c r="C38" s="7"/>
      <c r="D38" s="17" t="s">
        <v>90</v>
      </c>
      <c r="E38" s="13">
        <v>1660761</v>
      </c>
      <c r="G38" s="17">
        <v>2035</v>
      </c>
      <c r="H38" s="13">
        <v>2805424</v>
      </c>
    </row>
    <row r="39" spans="1:8" x14ac:dyDescent="0.35">
      <c r="A39" s="17">
        <v>2036</v>
      </c>
      <c r="B39" s="14" t="s">
        <v>91</v>
      </c>
      <c r="C39" s="7"/>
      <c r="D39" s="17" t="s">
        <v>92</v>
      </c>
      <c r="E39" s="13">
        <v>1644951</v>
      </c>
      <c r="G39" s="17">
        <v>2036</v>
      </c>
      <c r="H39" s="13">
        <v>2796372</v>
      </c>
    </row>
    <row r="40" spans="1:8" x14ac:dyDescent="0.35">
      <c r="A40" s="17">
        <v>2037</v>
      </c>
      <c r="B40" s="14" t="s">
        <v>93</v>
      </c>
      <c r="C40" s="7"/>
      <c r="D40" s="17" t="s">
        <v>94</v>
      </c>
      <c r="E40" s="13">
        <v>1629686</v>
      </c>
      <c r="G40" s="17">
        <v>2037</v>
      </c>
      <c r="H40" s="13">
        <v>2787574</v>
      </c>
    </row>
    <row r="41" spans="1:8" x14ac:dyDescent="0.35">
      <c r="A41" s="17">
        <v>2038</v>
      </c>
      <c r="B41" s="14" t="s">
        <v>95</v>
      </c>
      <c r="C41" s="7"/>
      <c r="D41" s="17" t="s">
        <v>96</v>
      </c>
      <c r="E41" s="13">
        <v>1615018</v>
      </c>
      <c r="G41" s="17">
        <v>2038</v>
      </c>
      <c r="H41" s="13">
        <v>2779076</v>
      </c>
    </row>
    <row r="42" spans="1:8" x14ac:dyDescent="0.35">
      <c r="A42" s="17">
        <v>2039</v>
      </c>
      <c r="B42" s="14" t="s">
        <v>97</v>
      </c>
      <c r="C42" s="7"/>
      <c r="D42" s="17" t="s">
        <v>98</v>
      </c>
      <c r="E42" s="13">
        <v>1600744</v>
      </c>
      <c r="G42" s="17">
        <v>2039</v>
      </c>
      <c r="H42" s="13">
        <v>2770806</v>
      </c>
    </row>
    <row r="43" spans="1:8" x14ac:dyDescent="0.35">
      <c r="A43" s="17">
        <v>2040</v>
      </c>
      <c r="B43" s="14" t="s">
        <v>99</v>
      </c>
      <c r="C43" s="7"/>
      <c r="D43" s="17" t="s">
        <v>100</v>
      </c>
      <c r="E43" s="13">
        <v>1586936</v>
      </c>
      <c r="G43" s="17">
        <v>2040</v>
      </c>
      <c r="H43" s="13">
        <v>2762731</v>
      </c>
    </row>
    <row r="44" spans="1:8" x14ac:dyDescent="0.35">
      <c r="A44" s="17">
        <v>2041</v>
      </c>
      <c r="B44" s="14" t="s">
        <v>101</v>
      </c>
      <c r="C44" s="7"/>
      <c r="D44" s="17" t="s">
        <v>102</v>
      </c>
      <c r="E44" s="13">
        <v>1573577</v>
      </c>
      <c r="G44" s="17">
        <v>2041</v>
      </c>
      <c r="H44" s="13">
        <v>2754810</v>
      </c>
    </row>
    <row r="45" spans="1:8" x14ac:dyDescent="0.35">
      <c r="A45" s="17">
        <v>2042</v>
      </c>
      <c r="B45" s="14" t="s">
        <v>103</v>
      </c>
      <c r="C45" s="7"/>
      <c r="D45" s="17" t="s">
        <v>104</v>
      </c>
      <c r="E45" s="13">
        <v>1560580</v>
      </c>
      <c r="G45" s="17">
        <v>2042</v>
      </c>
      <c r="H45" s="13">
        <v>2747029</v>
      </c>
    </row>
    <row r="46" spans="1:8" ht="15" customHeight="1" x14ac:dyDescent="0.35">
      <c r="A46" s="17">
        <v>2043</v>
      </c>
      <c r="B46" s="14" t="s">
        <v>105</v>
      </c>
      <c r="C46" s="7"/>
      <c r="D46" s="17" t="s">
        <v>106</v>
      </c>
      <c r="E46" s="13">
        <v>1547902</v>
      </c>
      <c r="G46" s="17">
        <v>2043</v>
      </c>
      <c r="H46" s="13">
        <v>2739306</v>
      </c>
    </row>
    <row r="47" spans="1:8" x14ac:dyDescent="0.35">
      <c r="A47" s="17">
        <v>2044</v>
      </c>
      <c r="B47" s="14" t="s">
        <v>107</v>
      </c>
      <c r="C47" s="7"/>
      <c r="D47" s="17" t="s">
        <v>108</v>
      </c>
      <c r="E47" s="13">
        <v>1535496</v>
      </c>
      <c r="G47" s="17">
        <v>2044</v>
      </c>
      <c r="H47" s="13">
        <v>2731576</v>
      </c>
    </row>
    <row r="48" spans="1:8" x14ac:dyDescent="0.35">
      <c r="A48" s="17">
        <v>2045</v>
      </c>
      <c r="B48" s="14" t="s">
        <v>109</v>
      </c>
      <c r="C48" s="7"/>
      <c r="D48" s="17" t="s">
        <v>110</v>
      </c>
      <c r="E48" s="13">
        <v>1523373</v>
      </c>
      <c r="G48" s="17">
        <v>2045</v>
      </c>
      <c r="H48" s="13">
        <v>2723801</v>
      </c>
    </row>
    <row r="49" spans="1:19" x14ac:dyDescent="0.35">
      <c r="A49" s="17">
        <v>2046</v>
      </c>
      <c r="B49" s="14" t="s">
        <v>111</v>
      </c>
      <c r="C49" s="7"/>
      <c r="D49" s="17" t="s">
        <v>112</v>
      </c>
      <c r="E49" s="13">
        <v>1511495</v>
      </c>
      <c r="G49" s="17">
        <v>2046</v>
      </c>
      <c r="H49" s="13">
        <v>2715857</v>
      </c>
    </row>
    <row r="50" spans="1:19" x14ac:dyDescent="0.35">
      <c r="A50" s="17">
        <v>2047</v>
      </c>
      <c r="B50" s="14" t="s">
        <v>113</v>
      </c>
      <c r="C50" s="7"/>
      <c r="D50" s="17" t="s">
        <v>114</v>
      </c>
      <c r="E50" s="13">
        <v>1499829</v>
      </c>
      <c r="G50" s="17">
        <v>2047</v>
      </c>
      <c r="H50" s="13">
        <v>2707639</v>
      </c>
    </row>
    <row r="51" spans="1:19" x14ac:dyDescent="0.35">
      <c r="A51" s="17">
        <v>2048</v>
      </c>
      <c r="B51" s="14" t="s">
        <v>115</v>
      </c>
      <c r="C51" s="7"/>
      <c r="D51" s="17" t="s">
        <v>116</v>
      </c>
      <c r="E51" s="13">
        <v>1488373</v>
      </c>
      <c r="G51" s="17">
        <v>2048</v>
      </c>
      <c r="H51" s="13">
        <v>2699011</v>
      </c>
    </row>
    <row r="52" spans="1:19" x14ac:dyDescent="0.35">
      <c r="A52" s="17">
        <v>2049</v>
      </c>
      <c r="B52" s="14" t="s">
        <v>117</v>
      </c>
      <c r="C52" s="7"/>
      <c r="D52" s="17" t="s">
        <v>118</v>
      </c>
      <c r="E52" s="13">
        <v>1477173</v>
      </c>
      <c r="G52" s="17">
        <v>2049</v>
      </c>
      <c r="H52" s="13">
        <v>2689892</v>
      </c>
    </row>
    <row r="53" spans="1:19" x14ac:dyDescent="0.35">
      <c r="A53" s="17">
        <v>2050</v>
      </c>
      <c r="B53" s="14" t="s">
        <v>119</v>
      </c>
      <c r="C53" s="7"/>
      <c r="D53" s="17" t="s">
        <v>120</v>
      </c>
      <c r="E53" s="13">
        <v>1466019</v>
      </c>
      <c r="G53" s="17">
        <v>2050</v>
      </c>
      <c r="H53" s="13">
        <v>2680233</v>
      </c>
    </row>
    <row r="56" spans="1:19" x14ac:dyDescent="0.35">
      <c r="A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</row>
  </sheetData>
  <sheetProtection algorithmName="SHA-512" hashValue="HhGvpblveEr0ZEDIB/AioWw9QPc0yWER4qncYPnxOrW+WOUc6ps32VQphgVfWPxRHMT194H395l61fhn0EgqPg==" saltValue="l2hcbbk7Lee6hYhlhmGKRQ==" spinCount="100000" sheet="1" objects="1" scenarios="1"/>
  <mergeCells count="3">
    <mergeCell ref="A1:B1"/>
    <mergeCell ref="D1:E1"/>
    <mergeCell ref="G1:H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F8F68"/>
  </sheetPr>
  <dimension ref="A1:AB215"/>
  <sheetViews>
    <sheetView showGridLines="0" zoomScaleNormal="100" workbookViewId="0">
      <selection activeCell="E12" sqref="E12"/>
    </sheetView>
  </sheetViews>
  <sheetFormatPr defaultColWidth="8.54296875" defaultRowHeight="14.5" x14ac:dyDescent="0.35"/>
  <cols>
    <col min="1" max="1" width="13" customWidth="1"/>
    <col min="2" max="2" width="17.1796875" customWidth="1"/>
    <col min="3" max="3" width="21.1796875" customWidth="1"/>
    <col min="4" max="5" width="13.81640625" customWidth="1"/>
    <col min="6" max="8" width="8.54296875" style="7"/>
    <col min="18" max="20" width="8.54296875" style="7"/>
    <col min="23" max="24" width="9.7265625" customWidth="1"/>
    <col min="27" max="28" width="9.7265625" customWidth="1"/>
  </cols>
  <sheetData>
    <row r="1" spans="1:28" x14ac:dyDescent="0.35">
      <c r="A1" s="78" t="s">
        <v>121</v>
      </c>
      <c r="B1" s="78"/>
      <c r="C1" s="78"/>
      <c r="D1" s="78"/>
      <c r="F1" s="78" t="s">
        <v>122</v>
      </c>
      <c r="G1" s="78"/>
      <c r="H1" s="78"/>
      <c r="I1" s="7"/>
      <c r="J1" s="78" t="s">
        <v>123</v>
      </c>
      <c r="K1" s="78"/>
      <c r="L1" s="78"/>
      <c r="M1" s="7"/>
      <c r="N1" s="78" t="s">
        <v>124</v>
      </c>
      <c r="O1" s="78"/>
      <c r="P1" s="78"/>
      <c r="R1" s="78" t="s">
        <v>122</v>
      </c>
      <c r="S1" s="78"/>
      <c r="T1" s="78"/>
      <c r="U1" s="7"/>
      <c r="V1" s="78" t="s">
        <v>125</v>
      </c>
      <c r="W1" s="78"/>
      <c r="X1" s="78"/>
      <c r="Y1" s="7"/>
      <c r="Z1" s="78" t="s">
        <v>124</v>
      </c>
      <c r="AA1" s="78"/>
      <c r="AB1" s="78"/>
    </row>
    <row r="2" spans="1:28" ht="19" customHeight="1" x14ac:dyDescent="0.35">
      <c r="A2" s="11"/>
      <c r="B2" s="11" t="s">
        <v>126</v>
      </c>
      <c r="C2" s="11" t="s">
        <v>127</v>
      </c>
      <c r="D2" s="11" t="s">
        <v>128</v>
      </c>
      <c r="F2" s="11" t="s">
        <v>126</v>
      </c>
      <c r="G2" s="11" t="s">
        <v>127</v>
      </c>
      <c r="H2" s="11" t="s">
        <v>128</v>
      </c>
      <c r="I2" s="7"/>
      <c r="J2" s="11" t="s">
        <v>126</v>
      </c>
      <c r="K2" s="11" t="s">
        <v>127</v>
      </c>
      <c r="L2" s="11" t="s">
        <v>128</v>
      </c>
      <c r="M2" s="7"/>
      <c r="N2" s="11" t="s">
        <v>126</v>
      </c>
      <c r="O2" s="11" t="s">
        <v>127</v>
      </c>
      <c r="P2" s="11" t="s">
        <v>128</v>
      </c>
      <c r="R2" s="11" t="s">
        <v>126</v>
      </c>
      <c r="S2" s="11" t="s">
        <v>127</v>
      </c>
      <c r="T2" s="11" t="s">
        <v>128</v>
      </c>
      <c r="U2" s="7"/>
      <c r="V2" s="11" t="s">
        <v>126</v>
      </c>
      <c r="W2" s="11" t="s">
        <v>127</v>
      </c>
      <c r="X2" s="11" t="s">
        <v>128</v>
      </c>
      <c r="Y2" s="7"/>
      <c r="Z2" s="11" t="s">
        <v>126</v>
      </c>
      <c r="AA2" s="11" t="s">
        <v>127</v>
      </c>
      <c r="AB2" s="11" t="s">
        <v>128</v>
      </c>
    </row>
    <row r="3" spans="1:28" x14ac:dyDescent="0.35">
      <c r="A3" s="17">
        <v>2000</v>
      </c>
      <c r="B3" s="18">
        <f t="shared" ref="B3:B34" si="0">B58</f>
        <v>6747</v>
      </c>
      <c r="C3" s="18">
        <f t="shared" ref="C3:C34" si="1">B111</f>
        <v>14133</v>
      </c>
      <c r="D3" s="18">
        <f t="shared" ref="D3:D34" si="2">B164</f>
        <v>7732</v>
      </c>
      <c r="F3" s="44">
        <v>0.27167630057803499</v>
      </c>
      <c r="G3" s="44">
        <v>0.202858557984858</v>
      </c>
      <c r="H3" s="44">
        <v>1.1769270563890301E-2</v>
      </c>
      <c r="I3" s="7"/>
      <c r="J3" s="44">
        <v>0.27167630057803499</v>
      </c>
      <c r="K3" s="44">
        <v>0.202858557984858</v>
      </c>
      <c r="L3" s="44">
        <v>1.1769270563890301E-2</v>
      </c>
      <c r="M3" s="7"/>
      <c r="N3" s="44">
        <v>0.27167630057803499</v>
      </c>
      <c r="O3" s="44">
        <v>0.202858557984858</v>
      </c>
      <c r="P3" s="44">
        <v>1.1769270563890301E-2</v>
      </c>
      <c r="R3" s="18">
        <f t="shared" ref="R3:R34" si="3">F3*B3</f>
        <v>1833.000000000002</v>
      </c>
      <c r="S3" s="18">
        <f t="shared" ref="S3:S34" si="4">G3*C3</f>
        <v>2866.9999999999982</v>
      </c>
      <c r="T3" s="18">
        <f t="shared" ref="T3:T34" si="5">H3*D3</f>
        <v>90.999999999999801</v>
      </c>
      <c r="U3" s="7"/>
      <c r="V3" s="18">
        <f t="shared" ref="V3:V34" si="6">J3*B3</f>
        <v>1833.000000000002</v>
      </c>
      <c r="W3" s="18">
        <f t="shared" ref="W3:W34" si="7">K3*C3</f>
        <v>2866.9999999999982</v>
      </c>
      <c r="X3" s="18">
        <f t="shared" ref="X3:X34" si="8">L3*D3</f>
        <v>90.999999999999801</v>
      </c>
      <c r="Y3" s="7"/>
      <c r="Z3" s="18">
        <f t="shared" ref="Z3:Z34" si="9">N3*B3</f>
        <v>1833.000000000002</v>
      </c>
      <c r="AA3" s="18">
        <f t="shared" ref="AA3:AA34" si="10">O3*C3</f>
        <v>2866.9999999999982</v>
      </c>
      <c r="AB3" s="18">
        <f t="shared" ref="AB3:AB34" si="11">P3*D3</f>
        <v>90.999999999999801</v>
      </c>
    </row>
    <row r="4" spans="1:28" x14ac:dyDescent="0.35">
      <c r="A4" s="17">
        <v>2001</v>
      </c>
      <c r="B4" s="18">
        <f t="shared" si="0"/>
        <v>7485</v>
      </c>
      <c r="C4" s="18">
        <f t="shared" si="1"/>
        <v>14462</v>
      </c>
      <c r="D4" s="18">
        <f t="shared" si="2"/>
        <v>7875</v>
      </c>
      <c r="F4" s="44">
        <v>0.24261857047428201</v>
      </c>
      <c r="G4" s="44">
        <v>0.21186557875812501</v>
      </c>
      <c r="H4" s="44">
        <v>1.0666666666666699E-2</v>
      </c>
      <c r="I4" s="7"/>
      <c r="J4" s="44">
        <v>0.24261857047428201</v>
      </c>
      <c r="K4" s="44">
        <v>0.21186557875812501</v>
      </c>
      <c r="L4" s="44">
        <v>1.0666666666666699E-2</v>
      </c>
      <c r="M4" s="7"/>
      <c r="N4" s="44">
        <v>0.24261857047428201</v>
      </c>
      <c r="O4" s="44">
        <v>0.21186557875812501</v>
      </c>
      <c r="P4" s="44">
        <v>1.0666666666666699E-2</v>
      </c>
      <c r="R4" s="18">
        <f t="shared" si="3"/>
        <v>1816.0000000000009</v>
      </c>
      <c r="S4" s="18">
        <f t="shared" si="4"/>
        <v>3064.0000000000036</v>
      </c>
      <c r="T4" s="18">
        <f t="shared" si="5"/>
        <v>84.000000000000256</v>
      </c>
      <c r="U4" s="7"/>
      <c r="V4" s="18">
        <f t="shared" si="6"/>
        <v>1816.0000000000009</v>
      </c>
      <c r="W4" s="18">
        <f t="shared" si="7"/>
        <v>3064.0000000000036</v>
      </c>
      <c r="X4" s="18">
        <f t="shared" si="8"/>
        <v>84.000000000000256</v>
      </c>
      <c r="Y4" s="7"/>
      <c r="Z4" s="18">
        <f t="shared" si="9"/>
        <v>1816.0000000000009</v>
      </c>
      <c r="AA4" s="18">
        <f t="shared" si="10"/>
        <v>3064.0000000000036</v>
      </c>
      <c r="AB4" s="18">
        <f t="shared" si="11"/>
        <v>84.000000000000256</v>
      </c>
    </row>
    <row r="5" spans="1:28" x14ac:dyDescent="0.35">
      <c r="A5" s="17">
        <v>2002</v>
      </c>
      <c r="B5" s="18">
        <f t="shared" si="0"/>
        <v>6803</v>
      </c>
      <c r="C5" s="18">
        <f t="shared" si="1"/>
        <v>14135</v>
      </c>
      <c r="D5" s="18">
        <f t="shared" si="2"/>
        <v>7843</v>
      </c>
      <c r="F5" s="44">
        <v>0.27693664559753101</v>
      </c>
      <c r="G5" s="44">
        <v>0.223134064379201</v>
      </c>
      <c r="H5" s="44">
        <v>1.2367716435037601E-2</v>
      </c>
      <c r="I5" s="7"/>
      <c r="J5" s="44">
        <v>0.27693664559753101</v>
      </c>
      <c r="K5" s="44">
        <v>0.223134064379201</v>
      </c>
      <c r="L5" s="44">
        <v>1.2367716435037601E-2</v>
      </c>
      <c r="M5" s="7"/>
      <c r="N5" s="44">
        <v>0.27693664559753101</v>
      </c>
      <c r="O5" s="44">
        <v>0.223134064379201</v>
      </c>
      <c r="P5" s="44">
        <v>1.2367716435037601E-2</v>
      </c>
      <c r="R5" s="18">
        <f t="shared" si="3"/>
        <v>1884.0000000000034</v>
      </c>
      <c r="S5" s="18">
        <f t="shared" si="4"/>
        <v>3154.0000000000059</v>
      </c>
      <c r="T5" s="18">
        <f t="shared" si="5"/>
        <v>96.999999999999901</v>
      </c>
      <c r="U5" s="7"/>
      <c r="V5" s="18">
        <f t="shared" si="6"/>
        <v>1884.0000000000034</v>
      </c>
      <c r="W5" s="18">
        <f t="shared" si="7"/>
        <v>3154.0000000000059</v>
      </c>
      <c r="X5" s="18">
        <f t="shared" si="8"/>
        <v>96.999999999999901</v>
      </c>
      <c r="Y5" s="7"/>
      <c r="Z5" s="18">
        <f t="shared" si="9"/>
        <v>1884.0000000000034</v>
      </c>
      <c r="AA5" s="18">
        <f t="shared" si="10"/>
        <v>3154.0000000000059</v>
      </c>
      <c r="AB5" s="18">
        <f t="shared" si="11"/>
        <v>96.999999999999901</v>
      </c>
    </row>
    <row r="6" spans="1:28" x14ac:dyDescent="0.35">
      <c r="A6" s="17">
        <v>2003</v>
      </c>
      <c r="B6" s="18">
        <f t="shared" si="0"/>
        <v>7730</v>
      </c>
      <c r="C6" s="18">
        <f t="shared" si="1"/>
        <v>14689</v>
      </c>
      <c r="D6" s="18">
        <f t="shared" si="2"/>
        <v>8131</v>
      </c>
      <c r="F6" s="44">
        <v>0.26274256144890001</v>
      </c>
      <c r="G6" s="44">
        <v>0.221798624821295</v>
      </c>
      <c r="H6" s="44">
        <v>1.1929651949329699E-2</v>
      </c>
      <c r="I6" s="7"/>
      <c r="J6" s="44">
        <v>0.26274256144890001</v>
      </c>
      <c r="K6" s="44">
        <v>0.221798624821295</v>
      </c>
      <c r="L6" s="44">
        <v>1.1929651949329699E-2</v>
      </c>
      <c r="M6" s="7"/>
      <c r="N6" s="44">
        <v>0.26274256144890001</v>
      </c>
      <c r="O6" s="44">
        <v>0.221798624821295</v>
      </c>
      <c r="P6" s="44">
        <v>1.1929651949329699E-2</v>
      </c>
      <c r="R6" s="18">
        <f t="shared" si="3"/>
        <v>2030.999999999997</v>
      </c>
      <c r="S6" s="18">
        <f t="shared" si="4"/>
        <v>3258.0000000000023</v>
      </c>
      <c r="T6" s="18">
        <f t="shared" si="5"/>
        <v>96.999999999999787</v>
      </c>
      <c r="U6" s="7"/>
      <c r="V6" s="18">
        <f t="shared" si="6"/>
        <v>2030.999999999997</v>
      </c>
      <c r="W6" s="18">
        <f t="shared" si="7"/>
        <v>3258.0000000000023</v>
      </c>
      <c r="X6" s="18">
        <f t="shared" si="8"/>
        <v>96.999999999999787</v>
      </c>
      <c r="Y6" s="7"/>
      <c r="Z6" s="18">
        <f t="shared" si="9"/>
        <v>2030.999999999997</v>
      </c>
      <c r="AA6" s="18">
        <f t="shared" si="10"/>
        <v>3258.0000000000023</v>
      </c>
      <c r="AB6" s="18">
        <f t="shared" si="11"/>
        <v>96.999999999999787</v>
      </c>
    </row>
    <row r="7" spans="1:28" x14ac:dyDescent="0.35">
      <c r="A7" s="17">
        <v>2004</v>
      </c>
      <c r="B7" s="18">
        <f t="shared" si="0"/>
        <v>7937</v>
      </c>
      <c r="C7" s="18">
        <f t="shared" si="1"/>
        <v>15152</v>
      </c>
      <c r="D7" s="18">
        <f t="shared" si="2"/>
        <v>8303</v>
      </c>
      <c r="F7" s="44">
        <v>0.27012725211036898</v>
      </c>
      <c r="G7" s="44">
        <v>0.22888067581837401</v>
      </c>
      <c r="H7" s="44">
        <v>9.5146332650849104E-3</v>
      </c>
      <c r="I7" s="7"/>
      <c r="J7" s="44">
        <v>0.27012725211036898</v>
      </c>
      <c r="K7" s="44">
        <v>0.22888067581837401</v>
      </c>
      <c r="L7" s="44">
        <v>9.5146332650849104E-3</v>
      </c>
      <c r="M7" s="7"/>
      <c r="N7" s="44">
        <v>0.27012725211036898</v>
      </c>
      <c r="O7" s="44">
        <v>0.22888067581837401</v>
      </c>
      <c r="P7" s="44">
        <v>9.5146332650849104E-3</v>
      </c>
      <c r="R7" s="18">
        <f t="shared" si="3"/>
        <v>2143.9999999999986</v>
      </c>
      <c r="S7" s="18">
        <f t="shared" si="4"/>
        <v>3468.0000000000032</v>
      </c>
      <c r="T7" s="18">
        <f t="shared" si="5"/>
        <v>79.000000000000014</v>
      </c>
      <c r="U7" s="7"/>
      <c r="V7" s="18">
        <f t="shared" si="6"/>
        <v>2143.9999999999986</v>
      </c>
      <c r="W7" s="18">
        <f t="shared" si="7"/>
        <v>3468.0000000000032</v>
      </c>
      <c r="X7" s="18">
        <f t="shared" si="8"/>
        <v>79.000000000000014</v>
      </c>
      <c r="Y7" s="7"/>
      <c r="Z7" s="18">
        <f t="shared" si="9"/>
        <v>2143.9999999999986</v>
      </c>
      <c r="AA7" s="18">
        <f t="shared" si="10"/>
        <v>3468.0000000000032</v>
      </c>
      <c r="AB7" s="18">
        <f t="shared" si="11"/>
        <v>79.000000000000014</v>
      </c>
    </row>
    <row r="8" spans="1:28" x14ac:dyDescent="0.35">
      <c r="A8" s="17">
        <v>2005</v>
      </c>
      <c r="B8" s="18">
        <f t="shared" si="0"/>
        <v>8268</v>
      </c>
      <c r="C8" s="18">
        <f t="shared" si="1"/>
        <v>14866</v>
      </c>
      <c r="D8" s="18">
        <f t="shared" si="2"/>
        <v>9269</v>
      </c>
      <c r="F8" s="44">
        <v>0.26221577164973398</v>
      </c>
      <c r="G8" s="44">
        <v>0.238732678595453</v>
      </c>
      <c r="H8" s="44">
        <v>1.11123098500378E-2</v>
      </c>
      <c r="I8" s="7"/>
      <c r="J8" s="44">
        <v>0.26221577164973398</v>
      </c>
      <c r="K8" s="44">
        <v>0.238732678595453</v>
      </c>
      <c r="L8" s="44">
        <v>1.11123098500378E-2</v>
      </c>
      <c r="M8" s="7"/>
      <c r="N8" s="44">
        <v>0.26221577164973398</v>
      </c>
      <c r="O8" s="44">
        <v>0.238732678595453</v>
      </c>
      <c r="P8" s="44">
        <v>1.11123098500378E-2</v>
      </c>
      <c r="R8" s="18">
        <f t="shared" si="3"/>
        <v>2168.0000000000005</v>
      </c>
      <c r="S8" s="18">
        <f t="shared" si="4"/>
        <v>3549.0000000000041</v>
      </c>
      <c r="T8" s="18">
        <f t="shared" si="5"/>
        <v>103.00000000000037</v>
      </c>
      <c r="U8" s="7"/>
      <c r="V8" s="18">
        <f t="shared" si="6"/>
        <v>2168.0000000000005</v>
      </c>
      <c r="W8" s="18">
        <f t="shared" si="7"/>
        <v>3549.0000000000041</v>
      </c>
      <c r="X8" s="18">
        <f t="shared" si="8"/>
        <v>103.00000000000037</v>
      </c>
      <c r="Y8" s="7"/>
      <c r="Z8" s="18">
        <f t="shared" si="9"/>
        <v>2168.0000000000005</v>
      </c>
      <c r="AA8" s="18">
        <f t="shared" si="10"/>
        <v>3549.0000000000041</v>
      </c>
      <c r="AB8" s="18">
        <f t="shared" si="11"/>
        <v>103.00000000000037</v>
      </c>
    </row>
    <row r="9" spans="1:28" x14ac:dyDescent="0.35">
      <c r="A9" s="17">
        <v>2006</v>
      </c>
      <c r="B9" s="18">
        <f t="shared" si="0"/>
        <v>7968</v>
      </c>
      <c r="C9" s="18">
        <f t="shared" si="1"/>
        <v>14869</v>
      </c>
      <c r="D9" s="18">
        <f t="shared" si="2"/>
        <v>9391</v>
      </c>
      <c r="F9" s="44">
        <v>0.29354919678714902</v>
      </c>
      <c r="G9" s="44">
        <v>0.25899522496469202</v>
      </c>
      <c r="H9" s="44">
        <v>8.83824938771164E-3</v>
      </c>
      <c r="I9" s="7"/>
      <c r="J9" s="44">
        <v>0.29354919678714902</v>
      </c>
      <c r="K9" s="44">
        <v>0.25899522496469202</v>
      </c>
      <c r="L9" s="44">
        <v>8.83824938771164E-3</v>
      </c>
      <c r="M9" s="7"/>
      <c r="N9" s="44">
        <v>0.29354919678714902</v>
      </c>
      <c r="O9" s="44">
        <v>0.25899522496469202</v>
      </c>
      <c r="P9" s="44">
        <v>8.83824938771164E-3</v>
      </c>
      <c r="R9" s="18">
        <f t="shared" si="3"/>
        <v>2339.0000000000036</v>
      </c>
      <c r="S9" s="18">
        <f t="shared" si="4"/>
        <v>3851.0000000000055</v>
      </c>
      <c r="T9" s="18">
        <f t="shared" si="5"/>
        <v>83.000000000000014</v>
      </c>
      <c r="U9" s="7"/>
      <c r="V9" s="18">
        <f t="shared" si="6"/>
        <v>2339.0000000000036</v>
      </c>
      <c r="W9" s="18">
        <f t="shared" si="7"/>
        <v>3851.0000000000055</v>
      </c>
      <c r="X9" s="18">
        <f t="shared" si="8"/>
        <v>83.000000000000014</v>
      </c>
      <c r="Y9" s="7"/>
      <c r="Z9" s="18">
        <f t="shared" si="9"/>
        <v>2339.0000000000036</v>
      </c>
      <c r="AA9" s="18">
        <f t="shared" si="10"/>
        <v>3851.0000000000055</v>
      </c>
      <c r="AB9" s="18">
        <f t="shared" si="11"/>
        <v>83.000000000000014</v>
      </c>
    </row>
    <row r="10" spans="1:28" x14ac:dyDescent="0.35">
      <c r="A10" s="17">
        <v>2007</v>
      </c>
      <c r="B10" s="18">
        <f t="shared" si="0"/>
        <v>8790</v>
      </c>
      <c r="C10" s="18">
        <f t="shared" si="1"/>
        <v>15950</v>
      </c>
      <c r="D10" s="18">
        <f t="shared" si="2"/>
        <v>9518</v>
      </c>
      <c r="F10" s="44">
        <v>0.27212741751990899</v>
      </c>
      <c r="G10" s="44">
        <v>0.25899686520376197</v>
      </c>
      <c r="H10" s="44">
        <v>8.0899348602647605E-3</v>
      </c>
      <c r="I10" s="7"/>
      <c r="J10" s="44">
        <v>0.27212741751990899</v>
      </c>
      <c r="K10" s="44">
        <v>0.25899686520376197</v>
      </c>
      <c r="L10" s="44">
        <v>8.0899348602647605E-3</v>
      </c>
      <c r="M10" s="7"/>
      <c r="N10" s="44">
        <v>0.27212741751990899</v>
      </c>
      <c r="O10" s="44">
        <v>0.25899686520376197</v>
      </c>
      <c r="P10" s="44">
        <v>8.0899348602647605E-3</v>
      </c>
      <c r="R10" s="18">
        <f t="shared" si="3"/>
        <v>2392</v>
      </c>
      <c r="S10" s="18">
        <f t="shared" si="4"/>
        <v>4131.0000000000036</v>
      </c>
      <c r="T10" s="18">
        <f t="shared" si="5"/>
        <v>76.999999999999986</v>
      </c>
      <c r="U10" s="7"/>
      <c r="V10" s="18">
        <f t="shared" si="6"/>
        <v>2392</v>
      </c>
      <c r="W10" s="18">
        <f t="shared" si="7"/>
        <v>4131.0000000000036</v>
      </c>
      <c r="X10" s="18">
        <f t="shared" si="8"/>
        <v>76.999999999999986</v>
      </c>
      <c r="Y10" s="7"/>
      <c r="Z10" s="18">
        <f t="shared" si="9"/>
        <v>2392</v>
      </c>
      <c r="AA10" s="18">
        <f t="shared" si="10"/>
        <v>4131.0000000000036</v>
      </c>
      <c r="AB10" s="18">
        <f t="shared" si="11"/>
        <v>76.999999999999986</v>
      </c>
    </row>
    <row r="11" spans="1:28" x14ac:dyDescent="0.35">
      <c r="A11" s="17">
        <v>2008</v>
      </c>
      <c r="B11" s="18">
        <f t="shared" si="0"/>
        <v>8518</v>
      </c>
      <c r="C11" s="18">
        <f t="shared" si="1"/>
        <v>16111</v>
      </c>
      <c r="D11" s="18">
        <f t="shared" si="2"/>
        <v>8387</v>
      </c>
      <c r="F11" s="44">
        <v>0.27412538154496402</v>
      </c>
      <c r="G11" s="44">
        <v>0.27298119297374501</v>
      </c>
      <c r="H11" s="44">
        <v>9.53857159890306E-3</v>
      </c>
      <c r="I11" s="7"/>
      <c r="J11" s="44">
        <v>0.27412538154496402</v>
      </c>
      <c r="K11" s="44">
        <v>0.27298119297374501</v>
      </c>
      <c r="L11" s="44">
        <v>9.53857159890306E-3</v>
      </c>
      <c r="M11" s="7"/>
      <c r="N11" s="44">
        <v>0.27412538154496402</v>
      </c>
      <c r="O11" s="44">
        <v>0.27298119297374501</v>
      </c>
      <c r="P11" s="44">
        <v>9.53857159890306E-3</v>
      </c>
      <c r="R11" s="18">
        <f t="shared" si="3"/>
        <v>2335.0000000000036</v>
      </c>
      <c r="S11" s="18">
        <f t="shared" si="4"/>
        <v>4398.0000000000055</v>
      </c>
      <c r="T11" s="18">
        <f t="shared" si="5"/>
        <v>79.999999999999957</v>
      </c>
      <c r="U11" s="7"/>
      <c r="V11" s="18">
        <f t="shared" si="6"/>
        <v>2335.0000000000036</v>
      </c>
      <c r="W11" s="18">
        <f t="shared" si="7"/>
        <v>4398.0000000000055</v>
      </c>
      <c r="X11" s="18">
        <f t="shared" si="8"/>
        <v>79.999999999999957</v>
      </c>
      <c r="Y11" s="7"/>
      <c r="Z11" s="18">
        <f t="shared" si="9"/>
        <v>2335.0000000000036</v>
      </c>
      <c r="AA11" s="18">
        <f t="shared" si="10"/>
        <v>4398.0000000000055</v>
      </c>
      <c r="AB11" s="18">
        <f t="shared" si="11"/>
        <v>79.999999999999957</v>
      </c>
    </row>
    <row r="12" spans="1:28" x14ac:dyDescent="0.35">
      <c r="A12" s="17">
        <v>2009</v>
      </c>
      <c r="B12" s="18">
        <f t="shared" si="0"/>
        <v>6167</v>
      </c>
      <c r="C12" s="18">
        <f t="shared" si="1"/>
        <v>16153</v>
      </c>
      <c r="D12" s="18">
        <f t="shared" si="2"/>
        <v>8843</v>
      </c>
      <c r="F12" s="44">
        <v>0.31473974379763298</v>
      </c>
      <c r="G12" s="44">
        <v>0.27505726490435201</v>
      </c>
      <c r="H12" s="44">
        <v>1.01775415582947E-2</v>
      </c>
      <c r="I12" s="7"/>
      <c r="J12" s="44">
        <v>0.31473974379763298</v>
      </c>
      <c r="K12" s="44">
        <v>0.27505726490435201</v>
      </c>
      <c r="L12" s="44">
        <v>1.01775415582947E-2</v>
      </c>
      <c r="M12" s="7"/>
      <c r="N12" s="44">
        <v>0.31473974379763298</v>
      </c>
      <c r="O12" s="44">
        <v>0.27505726490435201</v>
      </c>
      <c r="P12" s="44">
        <v>1.01775415582947E-2</v>
      </c>
      <c r="R12" s="18">
        <f t="shared" si="3"/>
        <v>1941.0000000000025</v>
      </c>
      <c r="S12" s="18">
        <f t="shared" si="4"/>
        <v>4442.9999999999982</v>
      </c>
      <c r="T12" s="18">
        <f t="shared" si="5"/>
        <v>90.000000000000043</v>
      </c>
      <c r="U12" s="7"/>
      <c r="V12" s="18">
        <f t="shared" si="6"/>
        <v>1941.0000000000025</v>
      </c>
      <c r="W12" s="18">
        <f t="shared" si="7"/>
        <v>4442.9999999999982</v>
      </c>
      <c r="X12" s="18">
        <f t="shared" si="8"/>
        <v>90.000000000000043</v>
      </c>
      <c r="Y12" s="7"/>
      <c r="Z12" s="18">
        <f t="shared" si="9"/>
        <v>1941.0000000000025</v>
      </c>
      <c r="AA12" s="18">
        <f t="shared" si="10"/>
        <v>4442.9999999999982</v>
      </c>
      <c r="AB12" s="18">
        <f t="shared" si="11"/>
        <v>90.000000000000043</v>
      </c>
    </row>
    <row r="13" spans="1:28" x14ac:dyDescent="0.35">
      <c r="A13" s="17">
        <v>2010</v>
      </c>
      <c r="B13" s="18">
        <f t="shared" si="0"/>
        <v>6723</v>
      </c>
      <c r="C13" s="18">
        <f t="shared" si="1"/>
        <v>16879</v>
      </c>
      <c r="D13" s="18">
        <f t="shared" si="2"/>
        <v>8746</v>
      </c>
      <c r="F13" s="44">
        <v>0.31161683772125498</v>
      </c>
      <c r="G13" s="44">
        <v>0.26861780911191402</v>
      </c>
      <c r="H13" s="44">
        <v>1.0176080493940099E-2</v>
      </c>
      <c r="I13" s="7"/>
      <c r="J13" s="44">
        <v>0.31161683772125498</v>
      </c>
      <c r="K13" s="44">
        <v>0.26861780911191402</v>
      </c>
      <c r="L13" s="44">
        <v>1.0176080493940099E-2</v>
      </c>
      <c r="M13" s="7"/>
      <c r="N13" s="44">
        <v>0.31161683772125498</v>
      </c>
      <c r="O13" s="44">
        <v>0.26861780911191402</v>
      </c>
      <c r="P13" s="44">
        <v>1.0176080493940099E-2</v>
      </c>
      <c r="R13" s="18">
        <f t="shared" si="3"/>
        <v>2094.9999999999973</v>
      </c>
      <c r="S13" s="18">
        <f t="shared" si="4"/>
        <v>4533.9999999999964</v>
      </c>
      <c r="T13" s="18">
        <f t="shared" si="5"/>
        <v>89.000000000000114</v>
      </c>
      <c r="U13" s="7"/>
      <c r="V13" s="18">
        <f t="shared" si="6"/>
        <v>2094.9999999999973</v>
      </c>
      <c r="W13" s="18">
        <f t="shared" si="7"/>
        <v>4533.9999999999964</v>
      </c>
      <c r="X13" s="18">
        <f t="shared" si="8"/>
        <v>89.000000000000114</v>
      </c>
      <c r="Y13" s="7"/>
      <c r="Z13" s="18">
        <f t="shared" si="9"/>
        <v>2094.9999999999973</v>
      </c>
      <c r="AA13" s="18">
        <f t="shared" si="10"/>
        <v>4533.9999999999964</v>
      </c>
      <c r="AB13" s="18">
        <f t="shared" si="11"/>
        <v>89.000000000000114</v>
      </c>
    </row>
    <row r="14" spans="1:28" x14ac:dyDescent="0.35">
      <c r="A14" s="17">
        <v>2011</v>
      </c>
      <c r="B14" s="18">
        <f t="shared" si="0"/>
        <v>6822</v>
      </c>
      <c r="C14" s="18">
        <f t="shared" si="1"/>
        <v>15558</v>
      </c>
      <c r="D14" s="18">
        <f t="shared" si="2"/>
        <v>8767</v>
      </c>
      <c r="F14" s="44">
        <v>0.29991204925241899</v>
      </c>
      <c r="G14" s="44">
        <v>0.27715644684406698</v>
      </c>
      <c r="H14" s="44">
        <v>9.1251283221170307E-3</v>
      </c>
      <c r="I14" s="7"/>
      <c r="J14" s="44">
        <v>0.29991204925241899</v>
      </c>
      <c r="K14" s="44">
        <v>0.27715644684406698</v>
      </c>
      <c r="L14" s="44">
        <v>9.1251283221170307E-3</v>
      </c>
      <c r="M14" s="7"/>
      <c r="N14" s="44">
        <v>0.29991204925241899</v>
      </c>
      <c r="O14" s="44">
        <v>0.27715644684406698</v>
      </c>
      <c r="P14" s="44">
        <v>9.1251283221170307E-3</v>
      </c>
      <c r="R14" s="18">
        <f t="shared" si="3"/>
        <v>2046.0000000000023</v>
      </c>
      <c r="S14" s="18">
        <f t="shared" si="4"/>
        <v>4311.9999999999945</v>
      </c>
      <c r="T14" s="18">
        <f t="shared" si="5"/>
        <v>80.000000000000014</v>
      </c>
      <c r="U14" s="7"/>
      <c r="V14" s="18">
        <f t="shared" si="6"/>
        <v>2046.0000000000023</v>
      </c>
      <c r="W14" s="18">
        <f t="shared" si="7"/>
        <v>4311.9999999999945</v>
      </c>
      <c r="X14" s="18">
        <f t="shared" si="8"/>
        <v>80.000000000000014</v>
      </c>
      <c r="Y14" s="7"/>
      <c r="Z14" s="18">
        <f t="shared" si="9"/>
        <v>2046.0000000000023</v>
      </c>
      <c r="AA14" s="18">
        <f t="shared" si="10"/>
        <v>4311.9999999999945</v>
      </c>
      <c r="AB14" s="18">
        <f t="shared" si="11"/>
        <v>80.000000000000014</v>
      </c>
    </row>
    <row r="15" spans="1:28" x14ac:dyDescent="0.35">
      <c r="A15" s="17">
        <v>2012</v>
      </c>
      <c r="B15" s="18">
        <f t="shared" si="0"/>
        <v>6570</v>
      </c>
      <c r="C15" s="18">
        <f t="shared" si="1"/>
        <v>16220</v>
      </c>
      <c r="D15" s="18">
        <f t="shared" si="2"/>
        <v>8684</v>
      </c>
      <c r="F15" s="44">
        <v>0.33287671232876698</v>
      </c>
      <c r="G15" s="44">
        <v>0.27694204685573398</v>
      </c>
      <c r="H15" s="44">
        <v>9.0971902349147905E-3</v>
      </c>
      <c r="I15" s="7"/>
      <c r="J15" s="44">
        <v>0.33287671232876698</v>
      </c>
      <c r="K15" s="44">
        <v>0.27694204685573398</v>
      </c>
      <c r="L15" s="44">
        <v>9.0971902349147905E-3</v>
      </c>
      <c r="M15" s="7"/>
      <c r="N15" s="44">
        <v>0.33287671232876698</v>
      </c>
      <c r="O15" s="44">
        <v>0.27694204685573398</v>
      </c>
      <c r="P15" s="44">
        <v>9.0971902349147905E-3</v>
      </c>
      <c r="R15" s="18">
        <f t="shared" si="3"/>
        <v>2186.9999999999991</v>
      </c>
      <c r="S15" s="18">
        <f t="shared" si="4"/>
        <v>4492.0000000000055</v>
      </c>
      <c r="T15" s="18">
        <f t="shared" si="5"/>
        <v>79.000000000000043</v>
      </c>
      <c r="U15" s="7"/>
      <c r="V15" s="18">
        <f t="shared" si="6"/>
        <v>2186.9999999999991</v>
      </c>
      <c r="W15" s="18">
        <f t="shared" si="7"/>
        <v>4492.0000000000055</v>
      </c>
      <c r="X15" s="18">
        <f t="shared" si="8"/>
        <v>79.000000000000043</v>
      </c>
      <c r="Y15" s="7"/>
      <c r="Z15" s="18">
        <f t="shared" si="9"/>
        <v>2186.9999999999991</v>
      </c>
      <c r="AA15" s="18">
        <f t="shared" si="10"/>
        <v>4492.0000000000055</v>
      </c>
      <c r="AB15" s="18">
        <f t="shared" si="11"/>
        <v>79.000000000000043</v>
      </c>
    </row>
    <row r="16" spans="1:28" x14ac:dyDescent="0.35">
      <c r="A16" s="17">
        <v>2013</v>
      </c>
      <c r="B16" s="18">
        <f t="shared" si="0"/>
        <v>7446</v>
      </c>
      <c r="C16" s="18">
        <f t="shared" si="1"/>
        <v>15720</v>
      </c>
      <c r="D16" s="18">
        <f t="shared" si="2"/>
        <v>9080</v>
      </c>
      <c r="F16" s="44">
        <v>0.28955143701316099</v>
      </c>
      <c r="G16" s="44">
        <v>0.27958015267175601</v>
      </c>
      <c r="H16" s="44">
        <v>6.9383259911894304E-3</v>
      </c>
      <c r="I16" s="7"/>
      <c r="J16" s="44">
        <v>0.28955143701316099</v>
      </c>
      <c r="K16" s="44">
        <v>0.27958015267175601</v>
      </c>
      <c r="L16" s="44">
        <v>6.9383259911894304E-3</v>
      </c>
      <c r="M16" s="7"/>
      <c r="N16" s="44">
        <v>0.28955143701316099</v>
      </c>
      <c r="O16" s="44">
        <v>0.27958015267175601</v>
      </c>
      <c r="P16" s="44">
        <v>6.9383259911894304E-3</v>
      </c>
      <c r="R16" s="18">
        <f t="shared" si="3"/>
        <v>2155.9999999999968</v>
      </c>
      <c r="S16" s="18">
        <f t="shared" si="4"/>
        <v>4395.0000000000045</v>
      </c>
      <c r="T16" s="18">
        <f t="shared" si="5"/>
        <v>63.000000000000028</v>
      </c>
      <c r="U16" s="7"/>
      <c r="V16" s="18">
        <f t="shared" si="6"/>
        <v>2155.9999999999968</v>
      </c>
      <c r="W16" s="18">
        <f t="shared" si="7"/>
        <v>4395.0000000000045</v>
      </c>
      <c r="X16" s="18">
        <f t="shared" si="8"/>
        <v>63.000000000000028</v>
      </c>
      <c r="Y16" s="7"/>
      <c r="Z16" s="18">
        <f t="shared" si="9"/>
        <v>2155.9999999999968</v>
      </c>
      <c r="AA16" s="18">
        <f t="shared" si="10"/>
        <v>4395.0000000000045</v>
      </c>
      <c r="AB16" s="18">
        <f t="shared" si="11"/>
        <v>63.000000000000028</v>
      </c>
    </row>
    <row r="17" spans="1:28" x14ac:dyDescent="0.35">
      <c r="A17" s="17">
        <v>2014</v>
      </c>
      <c r="B17" s="18">
        <f t="shared" si="0"/>
        <v>6470</v>
      </c>
      <c r="C17" s="18">
        <f t="shared" si="1"/>
        <v>15653</v>
      </c>
      <c r="D17" s="18">
        <f t="shared" si="2"/>
        <v>8870</v>
      </c>
      <c r="F17" s="44">
        <v>0.32720247295208699</v>
      </c>
      <c r="G17" s="44">
        <v>0.28965693477288701</v>
      </c>
      <c r="H17" s="44">
        <v>5.6369785794814003E-3</v>
      </c>
      <c r="I17" s="7"/>
      <c r="J17" s="44">
        <v>0.32720247295208699</v>
      </c>
      <c r="K17" s="44">
        <v>0.28965693477288701</v>
      </c>
      <c r="L17" s="44">
        <v>5.6369785794814003E-3</v>
      </c>
      <c r="M17" s="7"/>
      <c r="N17" s="44">
        <v>0.32720247295208699</v>
      </c>
      <c r="O17" s="44">
        <v>0.28965693477288701</v>
      </c>
      <c r="P17" s="44">
        <v>5.6369785794814003E-3</v>
      </c>
      <c r="R17" s="18">
        <f t="shared" si="3"/>
        <v>2117.0000000000027</v>
      </c>
      <c r="S17" s="18">
        <f t="shared" si="4"/>
        <v>4534</v>
      </c>
      <c r="T17" s="18">
        <f t="shared" si="5"/>
        <v>50.000000000000021</v>
      </c>
      <c r="U17" s="7"/>
      <c r="V17" s="18">
        <f t="shared" si="6"/>
        <v>2117.0000000000027</v>
      </c>
      <c r="W17" s="18">
        <f t="shared" si="7"/>
        <v>4534</v>
      </c>
      <c r="X17" s="18">
        <f t="shared" si="8"/>
        <v>50.000000000000021</v>
      </c>
      <c r="Y17" s="7"/>
      <c r="Z17" s="18">
        <f t="shared" si="9"/>
        <v>2117.0000000000027</v>
      </c>
      <c r="AA17" s="18">
        <f t="shared" si="10"/>
        <v>4534</v>
      </c>
      <c r="AB17" s="18">
        <f t="shared" si="11"/>
        <v>50.000000000000021</v>
      </c>
    </row>
    <row r="18" spans="1:28" x14ac:dyDescent="0.35">
      <c r="A18" s="17">
        <v>2015</v>
      </c>
      <c r="B18" s="18">
        <f t="shared" si="0"/>
        <v>6229</v>
      </c>
      <c r="C18" s="18">
        <f t="shared" si="1"/>
        <v>15387</v>
      </c>
      <c r="D18" s="18">
        <f t="shared" si="2"/>
        <v>9078</v>
      </c>
      <c r="F18" s="44">
        <v>0.33055065018461999</v>
      </c>
      <c r="G18" s="44">
        <v>0.29511925651524001</v>
      </c>
      <c r="H18" s="44">
        <v>5.1773518396122497E-3</v>
      </c>
      <c r="I18" s="7"/>
      <c r="J18" s="44">
        <v>0.33055065018461999</v>
      </c>
      <c r="K18" s="44">
        <v>0.29511925651524001</v>
      </c>
      <c r="L18" s="44">
        <v>5.1773518396122497E-3</v>
      </c>
      <c r="M18" s="7"/>
      <c r="N18" s="44">
        <v>0.33055065018461999</v>
      </c>
      <c r="O18" s="44">
        <v>0.29511925651524001</v>
      </c>
      <c r="P18" s="44">
        <v>5.1773518396122497E-3</v>
      </c>
      <c r="R18" s="18">
        <f t="shared" si="3"/>
        <v>2058.9999999999977</v>
      </c>
      <c r="S18" s="18">
        <f t="shared" si="4"/>
        <v>4540.9999999999982</v>
      </c>
      <c r="T18" s="18">
        <f t="shared" si="5"/>
        <v>47</v>
      </c>
      <c r="U18" s="7"/>
      <c r="V18" s="18">
        <f t="shared" si="6"/>
        <v>2058.9999999999977</v>
      </c>
      <c r="W18" s="18">
        <f t="shared" si="7"/>
        <v>4540.9999999999982</v>
      </c>
      <c r="X18" s="18">
        <f t="shared" si="8"/>
        <v>47</v>
      </c>
      <c r="Y18" s="7"/>
      <c r="Z18" s="18">
        <f t="shared" si="9"/>
        <v>2058.9999999999977</v>
      </c>
      <c r="AA18" s="18">
        <f t="shared" si="10"/>
        <v>4540.9999999999982</v>
      </c>
      <c r="AB18" s="18">
        <f t="shared" si="11"/>
        <v>47</v>
      </c>
    </row>
    <row r="19" spans="1:28" x14ac:dyDescent="0.35">
      <c r="A19" s="17">
        <v>2016</v>
      </c>
      <c r="B19" s="18">
        <f t="shared" si="0"/>
        <v>5331</v>
      </c>
      <c r="C19" s="18">
        <f t="shared" si="1"/>
        <v>16619</v>
      </c>
      <c r="D19" s="18">
        <f t="shared" si="2"/>
        <v>9364</v>
      </c>
      <c r="F19" s="44">
        <v>0.403676608516226</v>
      </c>
      <c r="G19" s="44">
        <v>0.29388049822492301</v>
      </c>
      <c r="H19" s="44">
        <v>5.1260145237078201E-3</v>
      </c>
      <c r="I19" s="7"/>
      <c r="J19" s="44">
        <v>0.403676608516226</v>
      </c>
      <c r="K19" s="44">
        <v>0.29388049822492301</v>
      </c>
      <c r="L19" s="44">
        <v>5.1260145237078201E-3</v>
      </c>
      <c r="M19" s="7"/>
      <c r="N19" s="44">
        <v>0.403676608516226</v>
      </c>
      <c r="O19" s="44">
        <v>0.29388049822492301</v>
      </c>
      <c r="P19" s="44">
        <v>5.1260145237078201E-3</v>
      </c>
      <c r="R19" s="18">
        <f t="shared" si="3"/>
        <v>2152.0000000000009</v>
      </c>
      <c r="S19" s="18">
        <f t="shared" si="4"/>
        <v>4883.9999999999955</v>
      </c>
      <c r="T19" s="18">
        <f t="shared" si="5"/>
        <v>48.000000000000028</v>
      </c>
      <c r="U19" s="7"/>
      <c r="V19" s="18">
        <f t="shared" si="6"/>
        <v>2152.0000000000009</v>
      </c>
      <c r="W19" s="18">
        <f t="shared" si="7"/>
        <v>4883.9999999999955</v>
      </c>
      <c r="X19" s="18">
        <f t="shared" si="8"/>
        <v>48.000000000000028</v>
      </c>
      <c r="Y19" s="7"/>
      <c r="Z19" s="18">
        <f t="shared" si="9"/>
        <v>2152.0000000000009</v>
      </c>
      <c r="AA19" s="18">
        <f t="shared" si="10"/>
        <v>4883.9999999999955</v>
      </c>
      <c r="AB19" s="18">
        <f t="shared" si="11"/>
        <v>48.000000000000028</v>
      </c>
    </row>
    <row r="20" spans="1:28" x14ac:dyDescent="0.35">
      <c r="A20" s="17">
        <v>2017</v>
      </c>
      <c r="B20" s="18">
        <f t="shared" si="0"/>
        <v>5420</v>
      </c>
      <c r="C20" s="18">
        <f t="shared" si="1"/>
        <v>16415</v>
      </c>
      <c r="D20" s="18">
        <f t="shared" si="2"/>
        <v>9716</v>
      </c>
      <c r="F20" s="44">
        <v>0.420848708487085</v>
      </c>
      <c r="G20" s="44">
        <v>0.28358208955223901</v>
      </c>
      <c r="H20" s="44">
        <v>4.7344586249485404E-3</v>
      </c>
      <c r="I20" s="7"/>
      <c r="J20" s="44">
        <v>0.420848708487085</v>
      </c>
      <c r="K20" s="44">
        <v>0.28358208955223901</v>
      </c>
      <c r="L20" s="44">
        <v>4.7344586249485404E-3</v>
      </c>
      <c r="M20" s="7"/>
      <c r="N20" s="44">
        <v>0.420848708487085</v>
      </c>
      <c r="O20" s="44">
        <v>0.28358208955223901</v>
      </c>
      <c r="P20" s="44">
        <v>4.7344586249485404E-3</v>
      </c>
      <c r="R20" s="18">
        <f t="shared" si="3"/>
        <v>2281.0000000000009</v>
      </c>
      <c r="S20" s="18">
        <f t="shared" si="4"/>
        <v>4655.0000000000036</v>
      </c>
      <c r="T20" s="18">
        <f t="shared" si="5"/>
        <v>46.000000000000021</v>
      </c>
      <c r="U20" s="7"/>
      <c r="V20" s="18">
        <f t="shared" si="6"/>
        <v>2281.0000000000009</v>
      </c>
      <c r="W20" s="18">
        <f t="shared" si="7"/>
        <v>4655.0000000000036</v>
      </c>
      <c r="X20" s="18">
        <f t="shared" si="8"/>
        <v>46.000000000000021</v>
      </c>
      <c r="Y20" s="7"/>
      <c r="Z20" s="18">
        <f t="shared" si="9"/>
        <v>2281.0000000000009</v>
      </c>
      <c r="AA20" s="18">
        <f t="shared" si="10"/>
        <v>4655.0000000000036</v>
      </c>
      <c r="AB20" s="18">
        <f t="shared" si="11"/>
        <v>46.000000000000021</v>
      </c>
    </row>
    <row r="21" spans="1:28" x14ac:dyDescent="0.35">
      <c r="A21" s="17">
        <v>2018</v>
      </c>
      <c r="B21" s="18">
        <f t="shared" si="0"/>
        <v>5657</v>
      </c>
      <c r="C21" s="18">
        <f t="shared" si="1"/>
        <v>16649</v>
      </c>
      <c r="D21" s="18">
        <f t="shared" si="2"/>
        <v>9688</v>
      </c>
      <c r="F21" s="44">
        <v>0.41718225207707299</v>
      </c>
      <c r="G21" s="44">
        <v>0.28788515826776401</v>
      </c>
      <c r="H21" s="44">
        <v>4.4384805945499603E-3</v>
      </c>
      <c r="I21" s="7"/>
      <c r="J21" s="44">
        <v>0.41718225207707299</v>
      </c>
      <c r="K21" s="44">
        <v>0.28788515826776401</v>
      </c>
      <c r="L21" s="44">
        <v>4.4384805945499603E-3</v>
      </c>
      <c r="M21" s="7"/>
      <c r="N21" s="44">
        <v>0.41718225207707299</v>
      </c>
      <c r="O21" s="44">
        <v>0.28788515826776401</v>
      </c>
      <c r="P21" s="44">
        <v>4.4384805945499603E-3</v>
      </c>
      <c r="R21" s="18">
        <f t="shared" si="3"/>
        <v>2360.0000000000018</v>
      </c>
      <c r="S21" s="18">
        <f t="shared" si="4"/>
        <v>4793.0000000000027</v>
      </c>
      <c r="T21" s="18">
        <f t="shared" si="5"/>
        <v>43.000000000000014</v>
      </c>
      <c r="U21" s="7"/>
      <c r="V21" s="18">
        <f t="shared" si="6"/>
        <v>2360.0000000000018</v>
      </c>
      <c r="W21" s="18">
        <f t="shared" si="7"/>
        <v>4793.0000000000027</v>
      </c>
      <c r="X21" s="18">
        <f t="shared" si="8"/>
        <v>43.000000000000014</v>
      </c>
      <c r="Y21" s="7"/>
      <c r="Z21" s="18">
        <f t="shared" si="9"/>
        <v>2360.0000000000018</v>
      </c>
      <c r="AA21" s="18">
        <f t="shared" si="10"/>
        <v>4793.0000000000027</v>
      </c>
      <c r="AB21" s="18">
        <f t="shared" si="11"/>
        <v>43.000000000000014</v>
      </c>
    </row>
    <row r="22" spans="1:28" x14ac:dyDescent="0.35">
      <c r="A22" s="17">
        <v>2019</v>
      </c>
      <c r="B22" s="18">
        <f t="shared" si="0"/>
        <v>5348</v>
      </c>
      <c r="C22" s="18">
        <f t="shared" si="1"/>
        <v>16441</v>
      </c>
      <c r="D22" s="18">
        <f t="shared" si="2"/>
        <v>9212</v>
      </c>
      <c r="F22" s="44">
        <v>0.39865370231862401</v>
      </c>
      <c r="G22" s="44">
        <v>0.30357034243659098</v>
      </c>
      <c r="H22" s="44">
        <v>6.0790273556231003E-3</v>
      </c>
      <c r="I22" s="7"/>
      <c r="J22" s="44">
        <v>0.39865370231862401</v>
      </c>
      <c r="K22" s="44">
        <v>0.30357034243659098</v>
      </c>
      <c r="L22" s="44">
        <v>6.0790273556231003E-3</v>
      </c>
      <c r="M22" s="7"/>
      <c r="N22" s="44">
        <v>0.39865370231862401</v>
      </c>
      <c r="O22" s="44">
        <v>0.30357034243659098</v>
      </c>
      <c r="P22" s="44">
        <v>6.0790273556231003E-3</v>
      </c>
      <c r="R22" s="18">
        <f t="shared" si="3"/>
        <v>2132.0000000000014</v>
      </c>
      <c r="S22" s="18">
        <f t="shared" si="4"/>
        <v>4990.9999999999927</v>
      </c>
      <c r="T22" s="18">
        <f t="shared" si="5"/>
        <v>56</v>
      </c>
      <c r="U22" s="7"/>
      <c r="V22" s="18">
        <f t="shared" si="6"/>
        <v>2132.0000000000014</v>
      </c>
      <c r="W22" s="18">
        <f t="shared" si="7"/>
        <v>4990.9999999999927</v>
      </c>
      <c r="X22" s="18">
        <f t="shared" si="8"/>
        <v>56</v>
      </c>
      <c r="Y22" s="7"/>
      <c r="Z22" s="18">
        <f t="shared" si="9"/>
        <v>2132.0000000000014</v>
      </c>
      <c r="AA22" s="18">
        <f t="shared" si="10"/>
        <v>4990.9999999999927</v>
      </c>
      <c r="AB22" s="18">
        <f t="shared" si="11"/>
        <v>56</v>
      </c>
    </row>
    <row r="23" spans="1:28" x14ac:dyDescent="0.35">
      <c r="A23" s="17">
        <v>2020</v>
      </c>
      <c r="B23" s="18">
        <f t="shared" si="0"/>
        <v>4753</v>
      </c>
      <c r="C23" s="18">
        <f t="shared" si="1"/>
        <v>16423</v>
      </c>
      <c r="D23" s="18">
        <f t="shared" si="2"/>
        <v>9562</v>
      </c>
      <c r="F23" s="44">
        <v>0.44792762465811098</v>
      </c>
      <c r="G23" s="44">
        <v>0.29495220118127002</v>
      </c>
      <c r="H23" s="44">
        <v>7.1114829533570397E-3</v>
      </c>
      <c r="I23" s="7"/>
      <c r="J23" s="44">
        <v>0.44792762465811098</v>
      </c>
      <c r="K23" s="44">
        <v>0.29495220118127002</v>
      </c>
      <c r="L23" s="44">
        <v>7.1114829533570397E-3</v>
      </c>
      <c r="M23" s="7"/>
      <c r="N23" s="44">
        <v>0.44792762465811098</v>
      </c>
      <c r="O23" s="44">
        <v>0.29495220118127002</v>
      </c>
      <c r="P23" s="44">
        <v>7.1114829533570397E-3</v>
      </c>
      <c r="R23" s="18">
        <f t="shared" si="3"/>
        <v>2129.0000000000014</v>
      </c>
      <c r="S23" s="18">
        <f t="shared" si="4"/>
        <v>4843.9999999999973</v>
      </c>
      <c r="T23" s="18">
        <f t="shared" si="5"/>
        <v>68.000000000000014</v>
      </c>
      <c r="U23" s="7"/>
      <c r="V23" s="18">
        <f t="shared" si="6"/>
        <v>2129.0000000000014</v>
      </c>
      <c r="W23" s="18">
        <f t="shared" si="7"/>
        <v>4843.9999999999973</v>
      </c>
      <c r="X23" s="18">
        <f t="shared" si="8"/>
        <v>68.000000000000014</v>
      </c>
      <c r="Y23" s="7"/>
      <c r="Z23" s="18">
        <f t="shared" si="9"/>
        <v>2129.0000000000014</v>
      </c>
      <c r="AA23" s="18">
        <f t="shared" si="10"/>
        <v>4843.9999999999973</v>
      </c>
      <c r="AB23" s="18">
        <f t="shared" si="11"/>
        <v>68.000000000000014</v>
      </c>
    </row>
    <row r="24" spans="1:28" x14ac:dyDescent="0.35">
      <c r="A24" s="17">
        <v>2021</v>
      </c>
      <c r="B24" s="18">
        <f t="shared" si="0"/>
        <v>4464</v>
      </c>
      <c r="C24" s="18">
        <f t="shared" si="1"/>
        <v>17179</v>
      </c>
      <c r="D24" s="18">
        <f t="shared" si="2"/>
        <v>9326</v>
      </c>
      <c r="F24" s="44">
        <v>0.49484767025089599</v>
      </c>
      <c r="G24" s="44">
        <v>0.319285173758659</v>
      </c>
      <c r="H24" s="44">
        <v>3.2168132103795799E-3</v>
      </c>
      <c r="I24" s="7"/>
      <c r="J24" s="44">
        <v>0.49484767025089599</v>
      </c>
      <c r="K24" s="44">
        <v>0.319285173758659</v>
      </c>
      <c r="L24" s="44">
        <v>3.2168132103795799E-3</v>
      </c>
      <c r="M24" s="7"/>
      <c r="N24" s="44">
        <v>0.49484767025089599</v>
      </c>
      <c r="O24" s="44">
        <v>0.319285173758659</v>
      </c>
      <c r="P24" s="44">
        <v>3.2168132103795799E-3</v>
      </c>
      <c r="R24" s="18">
        <f t="shared" si="3"/>
        <v>2208.9999999999995</v>
      </c>
      <c r="S24" s="18">
        <f t="shared" si="4"/>
        <v>5485.0000000000027</v>
      </c>
      <c r="T24" s="18">
        <f t="shared" si="5"/>
        <v>29.999999999999961</v>
      </c>
      <c r="U24" s="7"/>
      <c r="V24" s="18">
        <f t="shared" si="6"/>
        <v>2208.9999999999995</v>
      </c>
      <c r="W24" s="18">
        <f t="shared" si="7"/>
        <v>5485.0000000000027</v>
      </c>
      <c r="X24" s="18">
        <f t="shared" si="8"/>
        <v>29.999999999999961</v>
      </c>
      <c r="Y24" s="7"/>
      <c r="Z24" s="18">
        <f t="shared" si="9"/>
        <v>2208.9999999999995</v>
      </c>
      <c r="AA24" s="18">
        <f t="shared" si="10"/>
        <v>5485.0000000000027</v>
      </c>
      <c r="AB24" s="18">
        <f t="shared" si="11"/>
        <v>29.999999999999961</v>
      </c>
    </row>
    <row r="25" spans="1:28" x14ac:dyDescent="0.35">
      <c r="A25" s="17">
        <v>2022</v>
      </c>
      <c r="B25" s="18">
        <f t="shared" si="0"/>
        <v>4175</v>
      </c>
      <c r="C25" s="18">
        <f t="shared" si="1"/>
        <v>16514</v>
      </c>
      <c r="D25" s="18">
        <f t="shared" si="2"/>
        <v>9838</v>
      </c>
      <c r="F25" s="44">
        <v>0.50011976047904205</v>
      </c>
      <c r="G25" s="44">
        <v>0.29508295991280098</v>
      </c>
      <c r="H25" s="44">
        <v>3.3543403130717598E-3</v>
      </c>
      <c r="I25" s="7"/>
      <c r="J25" s="44">
        <v>0.50011976047904205</v>
      </c>
      <c r="K25" s="44">
        <v>0.29508295991280098</v>
      </c>
      <c r="L25" s="44">
        <v>3.3543403130717598E-3</v>
      </c>
      <c r="M25" s="7"/>
      <c r="N25" s="44">
        <v>0.50011976047904205</v>
      </c>
      <c r="O25" s="44">
        <v>0.29508295991280098</v>
      </c>
      <c r="P25" s="44">
        <v>3.3543403130717598E-3</v>
      </c>
      <c r="R25" s="18">
        <f t="shared" si="3"/>
        <v>2088.0000000000005</v>
      </c>
      <c r="S25" s="18">
        <f t="shared" si="4"/>
        <v>4872.9999999999955</v>
      </c>
      <c r="T25" s="18">
        <f t="shared" si="5"/>
        <v>32.999999999999972</v>
      </c>
      <c r="U25" s="7"/>
      <c r="V25" s="18">
        <f t="shared" si="6"/>
        <v>2088.0000000000005</v>
      </c>
      <c r="W25" s="18">
        <f t="shared" si="7"/>
        <v>4872.9999999999955</v>
      </c>
      <c r="X25" s="18">
        <f t="shared" si="8"/>
        <v>32.999999999999972</v>
      </c>
      <c r="Y25" s="7"/>
      <c r="Z25" s="18">
        <f t="shared" si="9"/>
        <v>2088.0000000000005</v>
      </c>
      <c r="AA25" s="18">
        <f t="shared" si="10"/>
        <v>4872.9999999999955</v>
      </c>
      <c r="AB25" s="18">
        <f t="shared" si="11"/>
        <v>32.999999999999972</v>
      </c>
    </row>
    <row r="26" spans="1:28" x14ac:dyDescent="0.35">
      <c r="A26" s="17">
        <v>2023</v>
      </c>
      <c r="B26" s="18">
        <f t="shared" si="0"/>
        <v>3923</v>
      </c>
      <c r="C26" s="18">
        <f t="shared" si="1"/>
        <v>15085</v>
      </c>
      <c r="D26" s="18">
        <f t="shared" si="2"/>
        <v>9909</v>
      </c>
      <c r="F26" s="44">
        <v>0.45449910782564401</v>
      </c>
      <c r="G26" s="44">
        <v>0.26602585349685098</v>
      </c>
      <c r="H26" s="44">
        <v>6.0551014229488298E-3</v>
      </c>
      <c r="I26" s="7"/>
      <c r="J26" s="44">
        <v>0.45449910782564401</v>
      </c>
      <c r="K26" s="44">
        <v>0.26602585349685098</v>
      </c>
      <c r="L26" s="44">
        <v>6.0551014229488298E-3</v>
      </c>
      <c r="M26" s="7"/>
      <c r="N26" s="44">
        <v>0.45449910782564401</v>
      </c>
      <c r="O26" s="44">
        <v>0.26602585349685098</v>
      </c>
      <c r="P26" s="44">
        <v>6.0551014229488298E-3</v>
      </c>
      <c r="R26" s="18">
        <f t="shared" si="3"/>
        <v>1783.0000000000014</v>
      </c>
      <c r="S26" s="18">
        <f t="shared" si="4"/>
        <v>4012.9999999999973</v>
      </c>
      <c r="T26" s="18">
        <f t="shared" si="5"/>
        <v>59.999999999999957</v>
      </c>
      <c r="U26" s="7"/>
      <c r="V26" s="18">
        <f t="shared" si="6"/>
        <v>1783.0000000000014</v>
      </c>
      <c r="W26" s="18">
        <f t="shared" si="7"/>
        <v>4012.9999999999973</v>
      </c>
      <c r="X26" s="18">
        <f t="shared" si="8"/>
        <v>59.999999999999957</v>
      </c>
      <c r="Y26" s="7"/>
      <c r="Z26" s="18">
        <f t="shared" si="9"/>
        <v>1783.0000000000014</v>
      </c>
      <c r="AA26" s="18">
        <f t="shared" si="10"/>
        <v>4012.9999999999973</v>
      </c>
      <c r="AB26" s="18">
        <f t="shared" si="11"/>
        <v>59.999999999999957</v>
      </c>
    </row>
    <row r="27" spans="1:28" x14ac:dyDescent="0.35">
      <c r="A27" s="17">
        <v>2024</v>
      </c>
      <c r="B27" s="18">
        <f t="shared" si="0"/>
        <v>3948.283383508408</v>
      </c>
      <c r="C27" s="18">
        <f t="shared" si="1"/>
        <v>15243.849178995924</v>
      </c>
      <c r="D27" s="18">
        <f t="shared" si="2"/>
        <v>10026.190917472137</v>
      </c>
      <c r="F27" s="21">
        <f>'EST Scenario projections'!D5</f>
        <v>0.42428571428571432</v>
      </c>
      <c r="G27" s="21">
        <f>'EST Scenario projections'!C5</f>
        <v>0.28857142857142859</v>
      </c>
      <c r="H27" s="21">
        <f>'EST Scenario projections'!E5</f>
        <v>5.1428571428571426E-3</v>
      </c>
      <c r="I27" s="7"/>
      <c r="J27" s="21">
        <f>'EST Scenario projections'!K5</f>
        <v>0.313</v>
      </c>
      <c r="K27" s="21">
        <f>'EST Scenario projections'!J5</f>
        <v>0.29049999999999998</v>
      </c>
      <c r="L27" s="21">
        <f>'EST Scenario projections'!L5</f>
        <v>6.0000000000000001E-3</v>
      </c>
      <c r="M27" s="7"/>
      <c r="N27" s="21">
        <f>'EST Scenario projections'!R5</f>
        <v>0.313</v>
      </c>
      <c r="O27" s="21">
        <f>'EST Scenario projections'!Q5</f>
        <v>0.29049999999999998</v>
      </c>
      <c r="P27" s="21">
        <f>'EST Scenario projections'!S5</f>
        <v>6.0000000000000001E-3</v>
      </c>
      <c r="R27" s="18">
        <f t="shared" si="3"/>
        <v>1675.2002355742818</v>
      </c>
      <c r="S27" s="18">
        <f t="shared" si="4"/>
        <v>4398.9393345102526</v>
      </c>
      <c r="T27" s="18">
        <f t="shared" si="5"/>
        <v>51.56326757557099</v>
      </c>
      <c r="U27" s="7"/>
      <c r="V27" s="18">
        <f t="shared" si="6"/>
        <v>1235.8126990381318</v>
      </c>
      <c r="W27" s="18">
        <f t="shared" si="7"/>
        <v>4428.3381864983157</v>
      </c>
      <c r="X27" s="18">
        <f t="shared" si="8"/>
        <v>60.157145504832819</v>
      </c>
      <c r="Y27" s="7"/>
      <c r="Z27" s="18">
        <f t="shared" si="9"/>
        <v>1235.8126990381318</v>
      </c>
      <c r="AA27" s="18">
        <f t="shared" si="10"/>
        <v>4428.3381864983157</v>
      </c>
      <c r="AB27" s="18">
        <f t="shared" si="11"/>
        <v>60.157145504832819</v>
      </c>
    </row>
    <row r="28" spans="1:28" x14ac:dyDescent="0.35">
      <c r="A28" s="17">
        <v>2025</v>
      </c>
      <c r="B28" s="18">
        <f t="shared" si="0"/>
        <v>3934.8073372262929</v>
      </c>
      <c r="C28" s="18">
        <f t="shared" si="1"/>
        <v>15253.486445633022</v>
      </c>
      <c r="D28" s="18">
        <f t="shared" si="2"/>
        <v>10045.400592901144</v>
      </c>
      <c r="F28" s="21">
        <f>'EST Scenario projections'!D6</f>
        <v>0.39857142857142863</v>
      </c>
      <c r="G28" s="21">
        <f>'EST Scenario projections'!C6</f>
        <v>0.30714285714285716</v>
      </c>
      <c r="H28" s="21">
        <f>'EST Scenario projections'!E6</f>
        <v>2.3714285714285716E-2</v>
      </c>
      <c r="I28" s="7"/>
      <c r="J28" s="21">
        <f>'EST Scenario projections'!K6</f>
        <v>0.32343749999999999</v>
      </c>
      <c r="K28" s="21">
        <f>'EST Scenario projections'!J6</f>
        <v>0.30734374999999997</v>
      </c>
      <c r="L28" s="21">
        <f>'EST Scenario projections'!L6</f>
        <v>2.4375000000000001E-2</v>
      </c>
      <c r="M28" s="7"/>
      <c r="N28" s="21">
        <f>'EST Scenario projections'!R6</f>
        <v>0.32019230769230766</v>
      </c>
      <c r="O28" s="21">
        <f>'EST Scenario projections'!Q6</f>
        <v>0.29836538461538459</v>
      </c>
      <c r="P28" s="21">
        <f>'EST Scenario projections'!S6</f>
        <v>2.019230769230769E-2</v>
      </c>
      <c r="R28" s="18">
        <f t="shared" si="3"/>
        <v>1568.3017815516228</v>
      </c>
      <c r="S28" s="18">
        <f t="shared" si="4"/>
        <v>4684.9994083015708</v>
      </c>
      <c r="T28" s="18">
        <f t="shared" si="5"/>
        <v>238.21949977451285</v>
      </c>
      <c r="U28" s="7"/>
      <c r="V28" s="18">
        <f t="shared" si="6"/>
        <v>1272.6642481341291</v>
      </c>
      <c r="W28" s="18">
        <f t="shared" si="7"/>
        <v>4688.0637247750237</v>
      </c>
      <c r="X28" s="18">
        <f t="shared" si="8"/>
        <v>244.85663945196538</v>
      </c>
      <c r="Y28" s="7"/>
      <c r="Z28" s="18">
        <f t="shared" si="9"/>
        <v>1259.8950416311111</v>
      </c>
      <c r="AA28" s="18">
        <f t="shared" si="10"/>
        <v>4551.1123500768517</v>
      </c>
      <c r="AB28" s="18">
        <f t="shared" si="11"/>
        <v>202.83981966434999</v>
      </c>
    </row>
    <row r="29" spans="1:28" x14ac:dyDescent="0.35">
      <c r="A29" s="17">
        <v>2026</v>
      </c>
      <c r="B29" s="18">
        <f t="shared" si="0"/>
        <v>3914.5846514052428</v>
      </c>
      <c r="C29" s="18">
        <f t="shared" si="1"/>
        <v>15236.690912534172</v>
      </c>
      <c r="D29" s="18">
        <f t="shared" si="2"/>
        <v>10047.213026134041</v>
      </c>
      <c r="F29" s="21">
        <f>'EST Scenario projections'!D7</f>
        <v>0.37285714285714294</v>
      </c>
      <c r="G29" s="21">
        <f>'EST Scenario projections'!C7</f>
        <v>0.32571428571428573</v>
      </c>
      <c r="H29" s="21">
        <f>'EST Scenario projections'!E7</f>
        <v>4.2285714285714288E-2</v>
      </c>
      <c r="I29" s="7"/>
      <c r="J29" s="21">
        <f>'EST Scenario projections'!K7</f>
        <v>0.33387499999999998</v>
      </c>
      <c r="K29" s="21">
        <f>'EST Scenario projections'!J7</f>
        <v>0.32418749999999996</v>
      </c>
      <c r="L29" s="21">
        <f>'EST Scenario projections'!L7</f>
        <v>4.2749999999999996E-2</v>
      </c>
      <c r="M29" s="7"/>
      <c r="N29" s="21">
        <f>'EST Scenario projections'!R7</f>
        <v>0.32738461538461539</v>
      </c>
      <c r="O29" s="21">
        <f>'EST Scenario projections'!Q7</f>
        <v>0.3062307692307692</v>
      </c>
      <c r="P29" s="21">
        <f>'EST Scenario projections'!S7</f>
        <v>3.4384615384615382E-2</v>
      </c>
      <c r="R29" s="18">
        <f t="shared" si="3"/>
        <v>1459.5808485953837</v>
      </c>
      <c r="S29" s="18">
        <f t="shared" si="4"/>
        <v>4962.8078972254161</v>
      </c>
      <c r="T29" s="18">
        <f t="shared" si="5"/>
        <v>424.85357939081086</v>
      </c>
      <c r="U29" s="7"/>
      <c r="V29" s="18">
        <f t="shared" si="6"/>
        <v>1306.9819504879254</v>
      </c>
      <c r="W29" s="18">
        <f t="shared" si="7"/>
        <v>4939.5447352071715</v>
      </c>
      <c r="X29" s="18">
        <f t="shared" si="8"/>
        <v>429.51835686723018</v>
      </c>
      <c r="Y29" s="7"/>
      <c r="Z29" s="18">
        <f t="shared" si="9"/>
        <v>1281.5747904908242</v>
      </c>
      <c r="AA29" s="18">
        <f t="shared" si="10"/>
        <v>4665.9435786768099</v>
      </c>
      <c r="AB29" s="18">
        <f t="shared" si="11"/>
        <v>345.46955559091663</v>
      </c>
    </row>
    <row r="30" spans="1:28" x14ac:dyDescent="0.35">
      <c r="A30" s="17">
        <v>2027</v>
      </c>
      <c r="B30" s="18">
        <f t="shared" si="0"/>
        <v>3925.3178110293393</v>
      </c>
      <c r="C30" s="18">
        <f t="shared" si="1"/>
        <v>15340.485848568718</v>
      </c>
      <c r="D30" s="18">
        <f t="shared" si="2"/>
        <v>10128.634048460361</v>
      </c>
      <c r="F30" s="21">
        <f>'EST Scenario projections'!D8</f>
        <v>0.34714285714285725</v>
      </c>
      <c r="G30" s="21">
        <f>'EST Scenario projections'!C8</f>
        <v>0.34428571428571431</v>
      </c>
      <c r="H30" s="21">
        <f>'EST Scenario projections'!E8</f>
        <v>6.085714285714286E-2</v>
      </c>
      <c r="I30" s="7"/>
      <c r="J30" s="21">
        <f>'EST Scenario projections'!K8</f>
        <v>0.34431249999999997</v>
      </c>
      <c r="K30" s="21">
        <f>'EST Scenario projections'!J8</f>
        <v>0.34103124999999995</v>
      </c>
      <c r="L30" s="21">
        <f>'EST Scenario projections'!L8</f>
        <v>6.1124999999999999E-2</v>
      </c>
      <c r="M30" s="7"/>
      <c r="N30" s="21">
        <f>'EST Scenario projections'!R8</f>
        <v>0.33457692307692311</v>
      </c>
      <c r="O30" s="21">
        <f>'EST Scenario projections'!Q8</f>
        <v>0.3140961538461538</v>
      </c>
      <c r="P30" s="21">
        <f>'EST Scenario projections'!S8</f>
        <v>4.8576923076923073E-2</v>
      </c>
      <c r="R30" s="18">
        <f t="shared" si="3"/>
        <v>1362.6460401144711</v>
      </c>
      <c r="S30" s="18">
        <f t="shared" si="4"/>
        <v>5281.5101278643733</v>
      </c>
      <c r="T30" s="18">
        <f t="shared" si="5"/>
        <v>616.39972923487335</v>
      </c>
      <c r="U30" s="7"/>
      <c r="V30" s="18">
        <f t="shared" si="6"/>
        <v>1351.5359888100393</v>
      </c>
      <c r="W30" s="18">
        <f t="shared" si="7"/>
        <v>5231.5850645446999</v>
      </c>
      <c r="X30" s="18">
        <f t="shared" si="8"/>
        <v>619.11275621213952</v>
      </c>
      <c r="Y30" s="7"/>
      <c r="Z30" s="18">
        <f t="shared" si="9"/>
        <v>1313.3207553132395</v>
      </c>
      <c r="AA30" s="18">
        <f t="shared" si="10"/>
        <v>4818.3876031667851</v>
      </c>
      <c r="AB30" s="18">
        <f t="shared" si="11"/>
        <v>492.01787704636286</v>
      </c>
    </row>
    <row r="31" spans="1:28" x14ac:dyDescent="0.35">
      <c r="A31" s="17">
        <v>2028</v>
      </c>
      <c r="B31" s="18">
        <f t="shared" si="0"/>
        <v>3913.8493854529365</v>
      </c>
      <c r="C31" s="18">
        <f t="shared" si="1"/>
        <v>15357.754437625741</v>
      </c>
      <c r="D31" s="18">
        <f t="shared" si="2"/>
        <v>10153.044693901214</v>
      </c>
      <c r="F31" s="21">
        <f>'EST Scenario projections'!D9</f>
        <v>0.32142857142857156</v>
      </c>
      <c r="G31" s="21">
        <f>'EST Scenario projections'!C9</f>
        <v>0.36285714285714288</v>
      </c>
      <c r="H31" s="21">
        <f>'EST Scenario projections'!E9</f>
        <v>7.9428571428571432E-2</v>
      </c>
      <c r="I31" s="7"/>
      <c r="J31" s="21">
        <f>'EST Scenario projections'!K9</f>
        <v>0.35474999999999995</v>
      </c>
      <c r="K31" s="21">
        <f>'EST Scenario projections'!J9</f>
        <v>0.35787499999999994</v>
      </c>
      <c r="L31" s="21">
        <f>'EST Scenario projections'!L9</f>
        <v>7.9500000000000001E-2</v>
      </c>
      <c r="M31" s="7"/>
      <c r="N31" s="21">
        <f>'EST Scenario projections'!R9</f>
        <v>0.34176923076923083</v>
      </c>
      <c r="O31" s="21">
        <f>'EST Scenario projections'!Q9</f>
        <v>0.32196153846153841</v>
      </c>
      <c r="P31" s="21">
        <f>'EST Scenario projections'!S9</f>
        <v>6.2769230769230772E-2</v>
      </c>
      <c r="R31" s="18">
        <f t="shared" si="3"/>
        <v>1258.0230167527302</v>
      </c>
      <c r="S31" s="18">
        <f t="shared" si="4"/>
        <v>5572.6708959384832</v>
      </c>
      <c r="T31" s="18">
        <f t="shared" si="5"/>
        <v>806.44183568701078</v>
      </c>
      <c r="U31" s="7"/>
      <c r="V31" s="18">
        <f t="shared" si="6"/>
        <v>1388.4380694894292</v>
      </c>
      <c r="W31" s="18">
        <f t="shared" si="7"/>
        <v>5496.1563693653115</v>
      </c>
      <c r="X31" s="18">
        <f t="shared" si="8"/>
        <v>807.16705316514651</v>
      </c>
      <c r="Y31" s="7"/>
      <c r="Z31" s="18">
        <f t="shared" si="9"/>
        <v>1337.6332938128769</v>
      </c>
      <c r="AA31" s="18">
        <f t="shared" si="10"/>
        <v>4944.6062460525018</v>
      </c>
      <c r="AB31" s="18">
        <f t="shared" si="11"/>
        <v>637.29880540179931</v>
      </c>
    </row>
    <row r="32" spans="1:28" x14ac:dyDescent="0.35">
      <c r="A32" s="17">
        <v>2029</v>
      </c>
      <c r="B32" s="18">
        <f t="shared" si="0"/>
        <v>3902.7428485874339</v>
      </c>
      <c r="C32" s="18">
        <f t="shared" si="1"/>
        <v>15376.336250901173</v>
      </c>
      <c r="D32" s="18">
        <f t="shared" si="2"/>
        <v>10178.370592043821</v>
      </c>
      <c r="F32" s="21">
        <f>'EST Scenario projections'!D10</f>
        <v>0.29571428571428587</v>
      </c>
      <c r="G32" s="21">
        <f>'EST Scenario projections'!C10</f>
        <v>0.38142857142857145</v>
      </c>
      <c r="H32" s="21">
        <f>'EST Scenario projections'!E10</f>
        <v>9.8000000000000004E-2</v>
      </c>
      <c r="I32" s="7"/>
      <c r="J32" s="21">
        <f>'EST Scenario projections'!K10</f>
        <v>0.36518749999999994</v>
      </c>
      <c r="K32" s="21">
        <f>'EST Scenario projections'!J10</f>
        <v>0.37471874999999993</v>
      </c>
      <c r="L32" s="21">
        <f>'EST Scenario projections'!L10</f>
        <v>9.7875000000000004E-2</v>
      </c>
      <c r="M32" s="7"/>
      <c r="N32" s="21">
        <f>'EST Scenario projections'!R10</f>
        <v>0.34896153846153855</v>
      </c>
      <c r="O32" s="21">
        <f>'EST Scenario projections'!Q10</f>
        <v>0.32982692307692302</v>
      </c>
      <c r="P32" s="21">
        <f>'EST Scenario projections'!S10</f>
        <v>7.696153846153847E-2</v>
      </c>
      <c r="R32" s="18">
        <f t="shared" si="3"/>
        <v>1154.0968137965704</v>
      </c>
      <c r="S32" s="18">
        <f t="shared" si="4"/>
        <v>5864.9739699865904</v>
      </c>
      <c r="T32" s="18">
        <f t="shared" si="5"/>
        <v>997.48031802029448</v>
      </c>
      <c r="U32" s="7"/>
      <c r="V32" s="18">
        <f t="shared" si="6"/>
        <v>1425.2329040185232</v>
      </c>
      <c r="W32" s="18">
        <f t="shared" si="7"/>
        <v>5761.8014995173726</v>
      </c>
      <c r="X32" s="18">
        <f t="shared" si="8"/>
        <v>996.20802169628894</v>
      </c>
      <c r="Y32" s="7"/>
      <c r="Z32" s="18">
        <f t="shared" si="9"/>
        <v>1361.9071486628384</v>
      </c>
      <c r="AA32" s="18">
        <f t="shared" si="10"/>
        <v>5071.5296738308843</v>
      </c>
      <c r="AB32" s="18">
        <f t="shared" si="11"/>
        <v>783.3430597953726</v>
      </c>
    </row>
    <row r="33" spans="1:28" x14ac:dyDescent="0.35">
      <c r="A33" s="17">
        <v>2030</v>
      </c>
      <c r="B33" s="18">
        <f t="shared" si="0"/>
        <v>3893.1413092180583</v>
      </c>
      <c r="C33" s="18">
        <f t="shared" si="1"/>
        <v>15400.769445001237</v>
      </c>
      <c r="D33" s="18">
        <f t="shared" si="2"/>
        <v>10207.623054517402</v>
      </c>
      <c r="F33" s="21">
        <f>'EST Scenario projections'!D11</f>
        <v>0.27</v>
      </c>
      <c r="G33" s="21">
        <f>'EST Scenario projections'!C11</f>
        <v>0.4</v>
      </c>
      <c r="H33" s="21">
        <f>'EST Scenario projections'!E11</f>
        <v>0</v>
      </c>
      <c r="I33" s="7"/>
      <c r="J33" s="21">
        <f>'EST Scenario projections'!K11</f>
        <v>0.37562499999999993</v>
      </c>
      <c r="K33" s="21">
        <f>'EST Scenario projections'!J11</f>
        <v>0.39156249999999992</v>
      </c>
      <c r="L33" s="21">
        <f>'EST Scenario projections'!L11</f>
        <v>0.11625000000000001</v>
      </c>
      <c r="M33" s="7"/>
      <c r="N33" s="21">
        <f>'EST Scenario projections'!R11</f>
        <v>0.35615384615384627</v>
      </c>
      <c r="O33" s="21">
        <f>'EST Scenario projections'!Q11</f>
        <v>0.33769230769230763</v>
      </c>
      <c r="P33" s="21">
        <f>'EST Scenario projections'!S11</f>
        <v>9.1153846153846169E-2</v>
      </c>
      <c r="R33" s="18">
        <f t="shared" si="3"/>
        <v>1051.1481534888758</v>
      </c>
      <c r="S33" s="18">
        <f t="shared" si="4"/>
        <v>6160.3077780004951</v>
      </c>
      <c r="T33" s="18">
        <f t="shared" si="5"/>
        <v>0</v>
      </c>
      <c r="U33" s="7"/>
      <c r="V33" s="18">
        <f t="shared" si="6"/>
        <v>1462.3612042750328</v>
      </c>
      <c r="W33" s="18">
        <f t="shared" si="7"/>
        <v>6030.3637858082957</v>
      </c>
      <c r="X33" s="18">
        <f t="shared" si="8"/>
        <v>1186.636180087648</v>
      </c>
      <c r="Y33" s="7"/>
      <c r="Z33" s="18">
        <f t="shared" si="9"/>
        <v>1386.5572508984319</v>
      </c>
      <c r="AA33" s="18">
        <f t="shared" si="10"/>
        <v>5200.7213741196474</v>
      </c>
      <c r="AB33" s="18">
        <f t="shared" si="11"/>
        <v>930.46410150793258</v>
      </c>
    </row>
    <row r="34" spans="1:28" x14ac:dyDescent="0.35">
      <c r="A34" s="17">
        <v>2031</v>
      </c>
      <c r="B34" s="18">
        <f t="shared" si="0"/>
        <v>3884.3927932386632</v>
      </c>
      <c r="C34" s="18">
        <f t="shared" si="1"/>
        <v>15428.535788970255</v>
      </c>
      <c r="D34" s="18">
        <f t="shared" si="2"/>
        <v>10239.14586658575</v>
      </c>
      <c r="F34" s="21">
        <f>'EST Scenario projections'!D12</f>
        <v>0.25650000000000001</v>
      </c>
      <c r="G34" s="21">
        <f>'EST Scenario projections'!C12</f>
        <v>0.40500000000000003</v>
      </c>
      <c r="H34" s="21">
        <f>'EST Scenario projections'!E12</f>
        <v>0</v>
      </c>
      <c r="I34" s="7"/>
      <c r="J34" s="21">
        <f>'EST Scenario projections'!K12</f>
        <v>0.38606249999999992</v>
      </c>
      <c r="K34" s="21">
        <f>'EST Scenario projections'!J12</f>
        <v>0.40840624999999992</v>
      </c>
      <c r="L34" s="21">
        <f>'EST Scenario projections'!L12</f>
        <v>0.13462499999999999</v>
      </c>
      <c r="M34" s="7"/>
      <c r="N34" s="21">
        <f>'EST Scenario projections'!R12</f>
        <v>0.36334615384615399</v>
      </c>
      <c r="O34" s="21">
        <f>'EST Scenario projections'!Q12</f>
        <v>0.34555769230769223</v>
      </c>
      <c r="P34" s="21">
        <f>'EST Scenario projections'!S12</f>
        <v>0.10534615384615387</v>
      </c>
      <c r="R34" s="18">
        <f t="shared" si="3"/>
        <v>996.34675146571715</v>
      </c>
      <c r="S34" s="18">
        <f t="shared" si="4"/>
        <v>6248.5569945329535</v>
      </c>
      <c r="T34" s="18">
        <f t="shared" si="5"/>
        <v>0</v>
      </c>
      <c r="U34" s="7"/>
      <c r="V34" s="18">
        <f t="shared" si="6"/>
        <v>1499.618392739701</v>
      </c>
      <c r="W34" s="18">
        <f t="shared" si="7"/>
        <v>6301.1104445641322</v>
      </c>
      <c r="X34" s="18">
        <f t="shared" si="8"/>
        <v>1378.4450122891064</v>
      </c>
      <c r="Y34" s="7"/>
      <c r="Z34" s="18">
        <f t="shared" si="9"/>
        <v>1411.3791814509871</v>
      </c>
      <c r="AA34" s="18">
        <f t="shared" si="10"/>
        <v>5331.449222923201</v>
      </c>
      <c r="AB34" s="18">
        <f t="shared" si="11"/>
        <v>1078.6546357145528</v>
      </c>
    </row>
    <row r="35" spans="1:28" x14ac:dyDescent="0.35">
      <c r="A35" s="17">
        <v>2032</v>
      </c>
      <c r="B35" s="18">
        <f t="shared" ref="B35:B66" si="12">B90</f>
        <v>3876.2617857739006</v>
      </c>
      <c r="C35" s="18">
        <f t="shared" ref="C35:C66" si="13">B143</f>
        <v>15458.736447514839</v>
      </c>
      <c r="D35" s="18">
        <f t="shared" ref="D35:D66" si="14">B196</f>
        <v>10272.350366194394</v>
      </c>
      <c r="F35" s="21">
        <f>'EST Scenario projections'!D13</f>
        <v>0.24299999999999999</v>
      </c>
      <c r="G35" s="21">
        <f>'EST Scenario projections'!C13</f>
        <v>0.41000000000000003</v>
      </c>
      <c r="H35" s="21">
        <f>'EST Scenario projections'!E13</f>
        <v>0</v>
      </c>
      <c r="I35" s="7"/>
      <c r="J35" s="21">
        <f>'EST Scenario projections'!K13</f>
        <v>0.39649999999999991</v>
      </c>
      <c r="K35" s="21">
        <f>'EST Scenario projections'!J13</f>
        <v>0.42524999999999991</v>
      </c>
      <c r="L35" s="21">
        <f>'EST Scenario projections'!L13</f>
        <v>0.153</v>
      </c>
      <c r="M35" s="7"/>
      <c r="N35" s="21">
        <f>'EST Scenario projections'!R13</f>
        <v>0.37053846153846171</v>
      </c>
      <c r="O35" s="21">
        <f>'EST Scenario projections'!Q13</f>
        <v>0.35342307692307684</v>
      </c>
      <c r="P35" s="21">
        <f>'EST Scenario projections'!S13</f>
        <v>0.11953846153846157</v>
      </c>
      <c r="R35" s="18">
        <f t="shared" ref="R35:R53" si="15">F35*B35</f>
        <v>941.93161394305776</v>
      </c>
      <c r="S35" s="18">
        <f t="shared" ref="S35:S53" si="16">G35*C35</f>
        <v>6338.0819434810846</v>
      </c>
      <c r="T35" s="18">
        <f t="shared" ref="T35:T53" si="17">H35*D35</f>
        <v>0</v>
      </c>
      <c r="U35" s="7"/>
      <c r="V35" s="18">
        <f t="shared" ref="V35:V53" si="18">J35*B35</f>
        <v>1536.9377980593513</v>
      </c>
      <c r="W35" s="18">
        <f t="shared" ref="W35:W53" si="19">K35*C35</f>
        <v>6573.827674305684</v>
      </c>
      <c r="X35" s="18">
        <f t="shared" ref="X35:X53" si="20">L35*D35</f>
        <v>1571.6696060277422</v>
      </c>
      <c r="Y35" s="7"/>
      <c r="Z35" s="18">
        <f t="shared" ref="Z35:Z53" si="21">N35*B35</f>
        <v>1436.3040786209913</v>
      </c>
      <c r="AA35" s="18">
        <f t="shared" ref="AA35:AA53" si="22">O35*C35</f>
        <v>5463.4742006236083</v>
      </c>
      <c r="AB35" s="18">
        <f t="shared" ref="AB35:AB53" si="23">P35*D35</f>
        <v>1227.9409591589301</v>
      </c>
    </row>
    <row r="36" spans="1:28" x14ac:dyDescent="0.35">
      <c r="A36" s="17">
        <v>2033</v>
      </c>
      <c r="B36" s="18">
        <f t="shared" si="12"/>
        <v>3868.7540310890222</v>
      </c>
      <c r="C36" s="18">
        <f t="shared" si="13"/>
        <v>15491.423723718661</v>
      </c>
      <c r="D36" s="18">
        <f t="shared" si="14"/>
        <v>10307.277691771729</v>
      </c>
      <c r="F36" s="21">
        <f>'EST Scenario projections'!D14</f>
        <v>0.22949999999999998</v>
      </c>
      <c r="G36" s="21">
        <f>'EST Scenario projections'!C14</f>
        <v>0.41500000000000004</v>
      </c>
      <c r="H36" s="21">
        <f>'EST Scenario projections'!E14</f>
        <v>0</v>
      </c>
      <c r="I36" s="7"/>
      <c r="J36" s="21">
        <f>'EST Scenario projections'!K14</f>
        <v>0.4069374999999999</v>
      </c>
      <c r="K36" s="21">
        <f>'EST Scenario projections'!J14</f>
        <v>0.4420937499999999</v>
      </c>
      <c r="L36" s="21">
        <f>'EST Scenario projections'!L14</f>
        <v>0.171375</v>
      </c>
      <c r="M36" s="7"/>
      <c r="N36" s="21">
        <f>'EST Scenario projections'!R14</f>
        <v>0.37773076923076943</v>
      </c>
      <c r="O36" s="21">
        <f>'EST Scenario projections'!Q14</f>
        <v>0.36128846153846145</v>
      </c>
      <c r="P36" s="21">
        <f>'EST Scenario projections'!S14</f>
        <v>0.13373076923076926</v>
      </c>
      <c r="R36" s="18">
        <f t="shared" si="15"/>
        <v>887.87905013493048</v>
      </c>
      <c r="S36" s="18">
        <f t="shared" si="16"/>
        <v>6428.9408453432452</v>
      </c>
      <c r="T36" s="18">
        <f t="shared" si="17"/>
        <v>0</v>
      </c>
      <c r="U36" s="7"/>
      <c r="V36" s="18">
        <f t="shared" si="18"/>
        <v>1574.3410935262887</v>
      </c>
      <c r="W36" s="18">
        <f t="shared" si="19"/>
        <v>6848.661606857745</v>
      </c>
      <c r="X36" s="18">
        <f t="shared" si="20"/>
        <v>1766.4097144273801</v>
      </c>
      <c r="Y36" s="7"/>
      <c r="Z36" s="18">
        <f t="shared" si="21"/>
        <v>1461.3474361278963</v>
      </c>
      <c r="AA36" s="18">
        <f t="shared" si="22"/>
        <v>5596.8726441827384</v>
      </c>
      <c r="AB36" s="18">
        <f t="shared" si="23"/>
        <v>1378.4001743957813</v>
      </c>
    </row>
    <row r="37" spans="1:28" x14ac:dyDescent="0.35">
      <c r="A37" s="17">
        <v>2034</v>
      </c>
      <c r="B37" s="18">
        <f t="shared" si="12"/>
        <v>3861.9499488975625</v>
      </c>
      <c r="C37" s="18">
        <f t="shared" si="13"/>
        <v>15526.95076475715</v>
      </c>
      <c r="D37" s="18">
        <f t="shared" si="14"/>
        <v>10344.169601050578</v>
      </c>
      <c r="F37" s="21">
        <f>'EST Scenario projections'!D15</f>
        <v>0.21599999999999997</v>
      </c>
      <c r="G37" s="21">
        <f>'EST Scenario projections'!C15</f>
        <v>0.42000000000000004</v>
      </c>
      <c r="H37" s="21">
        <f>'EST Scenario projections'!E15</f>
        <v>0</v>
      </c>
      <c r="I37" s="7"/>
      <c r="J37" s="21">
        <f>'EST Scenario projections'!K15</f>
        <v>0.41737499999999988</v>
      </c>
      <c r="K37" s="21">
        <f>'EST Scenario projections'!J15</f>
        <v>0.45893749999999989</v>
      </c>
      <c r="L37" s="21">
        <f>'EST Scenario projections'!L15</f>
        <v>0.18975</v>
      </c>
      <c r="M37" s="7"/>
      <c r="N37" s="21">
        <f>'EST Scenario projections'!R15</f>
        <v>0.38492307692307715</v>
      </c>
      <c r="O37" s="21">
        <f>'EST Scenario projections'!Q15</f>
        <v>0.36915384615384605</v>
      </c>
      <c r="P37" s="21">
        <f>'EST Scenario projections'!S15</f>
        <v>0.14792307692307696</v>
      </c>
      <c r="R37" s="18">
        <f t="shared" si="15"/>
        <v>834.18118896187343</v>
      </c>
      <c r="S37" s="18">
        <f t="shared" si="16"/>
        <v>6521.3193211980033</v>
      </c>
      <c r="T37" s="18">
        <f t="shared" si="17"/>
        <v>0</v>
      </c>
      <c r="U37" s="7"/>
      <c r="V37" s="18">
        <f t="shared" si="18"/>
        <v>1611.8813599211196</v>
      </c>
      <c r="W37" s="18">
        <f t="shared" si="19"/>
        <v>7125.899966600733</v>
      </c>
      <c r="X37" s="18">
        <f t="shared" si="20"/>
        <v>1962.8061817993473</v>
      </c>
      <c r="Y37" s="7"/>
      <c r="Z37" s="18">
        <f t="shared" si="21"/>
        <v>1486.5536572525702</v>
      </c>
      <c r="AA37" s="18">
        <f t="shared" si="22"/>
        <v>5731.8335938515029</v>
      </c>
      <c r="AB37" s="18">
        <f t="shared" si="23"/>
        <v>1530.141395601559</v>
      </c>
    </row>
    <row r="38" spans="1:28" x14ac:dyDescent="0.35">
      <c r="A38" s="17">
        <v>2035</v>
      </c>
      <c r="B38" s="18">
        <f t="shared" si="12"/>
        <v>3855.9385753109327</v>
      </c>
      <c r="C38" s="18">
        <f t="shared" si="13"/>
        <v>15565.71099265086</v>
      </c>
      <c r="D38" s="18">
        <f t="shared" si="14"/>
        <v>10383.295941460177</v>
      </c>
      <c r="F38" s="21">
        <f>'EST Scenario projections'!D16</f>
        <v>0.20249999999999996</v>
      </c>
      <c r="G38" s="21">
        <f>'EST Scenario projections'!C16</f>
        <v>0.42500000000000004</v>
      </c>
      <c r="H38" s="21">
        <f>'EST Scenario projections'!E16</f>
        <v>0</v>
      </c>
      <c r="I38" s="7"/>
      <c r="J38" s="21">
        <f>'EST Scenario projections'!K16</f>
        <v>0.42781249999999987</v>
      </c>
      <c r="K38" s="21">
        <f>'EST Scenario projections'!J16</f>
        <v>0.47578124999999988</v>
      </c>
      <c r="L38" s="21">
        <f>'EST Scenario projections'!L16</f>
        <v>0.208125</v>
      </c>
      <c r="M38" s="7"/>
      <c r="N38" s="21">
        <f>'EST Scenario projections'!R16</f>
        <v>0.39211538461538487</v>
      </c>
      <c r="O38" s="21">
        <f>'EST Scenario projections'!Q16</f>
        <v>0.37701923076923066</v>
      </c>
      <c r="P38" s="21">
        <f>'EST Scenario projections'!S16</f>
        <v>0.16211538461538466</v>
      </c>
      <c r="R38" s="18">
        <f t="shared" si="15"/>
        <v>780.82756150046373</v>
      </c>
      <c r="S38" s="18">
        <f t="shared" si="16"/>
        <v>6615.4271718766158</v>
      </c>
      <c r="T38" s="18">
        <f t="shared" si="17"/>
        <v>0</v>
      </c>
      <c r="U38" s="7"/>
      <c r="V38" s="18">
        <f t="shared" si="18"/>
        <v>1649.6187217502079</v>
      </c>
      <c r="W38" s="18">
        <f t="shared" si="19"/>
        <v>7405.8734332221647</v>
      </c>
      <c r="X38" s="18">
        <f t="shared" si="20"/>
        <v>2161.0234678163993</v>
      </c>
      <c r="Y38" s="7"/>
      <c r="Z38" s="18">
        <f t="shared" si="21"/>
        <v>1511.9728375113455</v>
      </c>
      <c r="AA38" s="18">
        <f t="shared" si="22"/>
        <v>5868.5723848253847</v>
      </c>
      <c r="AB38" s="18">
        <f t="shared" si="23"/>
        <v>1683.2920151251792</v>
      </c>
    </row>
    <row r="39" spans="1:28" x14ac:dyDescent="0.35">
      <c r="A39" s="17">
        <v>2036</v>
      </c>
      <c r="B39" s="18">
        <f t="shared" si="12"/>
        <v>3851.3316745785137</v>
      </c>
      <c r="C39" s="18">
        <f t="shared" si="13"/>
        <v>15610.222663523216</v>
      </c>
      <c r="D39" s="18">
        <f t="shared" si="14"/>
        <v>10426.347140810783</v>
      </c>
      <c r="F39" s="21">
        <f>'EST Scenario projections'!D17</f>
        <v>0.18899999999999995</v>
      </c>
      <c r="G39" s="21">
        <f>'EST Scenario projections'!C17</f>
        <v>0.43000000000000005</v>
      </c>
      <c r="H39" s="21">
        <f>'EST Scenario projections'!E17</f>
        <v>0</v>
      </c>
      <c r="I39" s="7"/>
      <c r="J39" s="21">
        <f>'EST Scenario projections'!K17</f>
        <v>0.43824999999999986</v>
      </c>
      <c r="K39" s="21">
        <f>'EST Scenario projections'!J17</f>
        <v>0.49262499999999987</v>
      </c>
      <c r="L39" s="21">
        <f>'EST Scenario projections'!L17</f>
        <v>0.22650000000000001</v>
      </c>
      <c r="M39" s="7"/>
      <c r="N39" s="21">
        <f>'EST Scenario projections'!R17</f>
        <v>0.39930769230769259</v>
      </c>
      <c r="O39" s="21">
        <f>'EST Scenario projections'!Q17</f>
        <v>0.38488461538461527</v>
      </c>
      <c r="P39" s="21">
        <f>'EST Scenario projections'!S17</f>
        <v>0.17630769230769236</v>
      </c>
      <c r="R39" s="18">
        <f t="shared" si="15"/>
        <v>727.90168649533882</v>
      </c>
      <c r="S39" s="18">
        <f t="shared" si="16"/>
        <v>6712.3957453149842</v>
      </c>
      <c r="T39" s="18">
        <f t="shared" si="17"/>
        <v>0</v>
      </c>
      <c r="U39" s="7"/>
      <c r="V39" s="18">
        <f t="shared" si="18"/>
        <v>1687.8461063840332</v>
      </c>
      <c r="W39" s="18">
        <f t="shared" si="19"/>
        <v>7689.9859396181228</v>
      </c>
      <c r="X39" s="18">
        <f t="shared" si="20"/>
        <v>2361.5676273936424</v>
      </c>
      <c r="Y39" s="7"/>
      <c r="Z39" s="18">
        <f t="shared" si="21"/>
        <v>1537.8663632874675</v>
      </c>
      <c r="AA39" s="18">
        <f t="shared" si="22"/>
        <v>6008.1345459183376</v>
      </c>
      <c r="AB39" s="18">
        <f t="shared" si="23"/>
        <v>1838.2452035952556</v>
      </c>
    </row>
    <row r="40" spans="1:28" x14ac:dyDescent="0.35">
      <c r="A40" s="17">
        <v>2037</v>
      </c>
      <c r="B40" s="18">
        <f t="shared" si="12"/>
        <v>3846.8597640795251</v>
      </c>
      <c r="C40" s="18">
        <f t="shared" si="13"/>
        <v>15655.388583572405</v>
      </c>
      <c r="D40" s="18">
        <f t="shared" si="14"/>
        <v>10469.929258995515</v>
      </c>
      <c r="F40" s="21">
        <f>'EST Scenario projections'!D18</f>
        <v>0.17549999999999993</v>
      </c>
      <c r="G40" s="21">
        <f>'EST Scenario projections'!C18</f>
        <v>0.43500000000000005</v>
      </c>
      <c r="H40" s="21">
        <f>'EST Scenario projections'!E18</f>
        <v>0</v>
      </c>
      <c r="I40" s="7"/>
      <c r="J40" s="21">
        <f>'EST Scenario projections'!K18</f>
        <v>0.44868749999999985</v>
      </c>
      <c r="K40" s="21">
        <f>'EST Scenario projections'!J18</f>
        <v>0.50946874999999991</v>
      </c>
      <c r="L40" s="21">
        <f>'EST Scenario projections'!L18</f>
        <v>0.24487500000000001</v>
      </c>
      <c r="M40" s="7"/>
      <c r="N40" s="21">
        <f>'EST Scenario projections'!R18</f>
        <v>0.40650000000000031</v>
      </c>
      <c r="O40" s="21">
        <f>'EST Scenario projections'!Q18</f>
        <v>0.39274999999999988</v>
      </c>
      <c r="P40" s="21">
        <f>'EST Scenario projections'!S18</f>
        <v>0.19050000000000006</v>
      </c>
      <c r="R40" s="18">
        <f t="shared" si="15"/>
        <v>675.12388859595637</v>
      </c>
      <c r="S40" s="18">
        <f t="shared" si="16"/>
        <v>6810.0940338539967</v>
      </c>
      <c r="T40" s="18">
        <f t="shared" si="17"/>
        <v>0</v>
      </c>
      <c r="U40" s="7"/>
      <c r="V40" s="18">
        <f t="shared" si="18"/>
        <v>1726.0378903954313</v>
      </c>
      <c r="W40" s="18">
        <f t="shared" si="19"/>
        <v>7975.9312524369025</v>
      </c>
      <c r="X40" s="18">
        <f t="shared" si="20"/>
        <v>2563.823927296527</v>
      </c>
      <c r="Y40" s="7"/>
      <c r="Z40" s="18">
        <f t="shared" si="21"/>
        <v>1563.7484940983281</v>
      </c>
      <c r="AA40" s="18">
        <f t="shared" si="22"/>
        <v>6148.6538661980603</v>
      </c>
      <c r="AB40" s="18">
        <f t="shared" si="23"/>
        <v>1994.5215238386461</v>
      </c>
    </row>
    <row r="41" spans="1:28" x14ac:dyDescent="0.35">
      <c r="A41" s="17">
        <v>2038</v>
      </c>
      <c r="B41" s="18">
        <f t="shared" si="12"/>
        <v>3842.588902864371</v>
      </c>
      <c r="C41" s="18">
        <f t="shared" si="13"/>
        <v>15701.485489561732</v>
      </c>
      <c r="D41" s="18">
        <f t="shared" si="14"/>
        <v>10514.229460771159</v>
      </c>
      <c r="F41" s="21">
        <f>'EST Scenario projections'!D19</f>
        <v>0.16199999999999992</v>
      </c>
      <c r="G41" s="21">
        <f>'EST Scenario projections'!C19</f>
        <v>0.44000000000000006</v>
      </c>
      <c r="H41" s="21">
        <f>'EST Scenario projections'!E19</f>
        <v>0</v>
      </c>
      <c r="I41" s="7"/>
      <c r="J41" s="21">
        <f>'EST Scenario projections'!K19</f>
        <v>0.45912499999999984</v>
      </c>
      <c r="K41" s="21">
        <f>'EST Scenario projections'!J19</f>
        <v>0.52631249999999996</v>
      </c>
      <c r="L41" s="21">
        <f>'EST Scenario projections'!L19</f>
        <v>0.26324999999999998</v>
      </c>
      <c r="M41" s="7"/>
      <c r="N41" s="21">
        <f>'EST Scenario projections'!R19</f>
        <v>0.41369230769230803</v>
      </c>
      <c r="O41" s="21">
        <f>'EST Scenario projections'!Q19</f>
        <v>0.40061538461538448</v>
      </c>
      <c r="P41" s="21">
        <f>'EST Scenario projections'!S19</f>
        <v>0.20469230769230776</v>
      </c>
      <c r="R41" s="18">
        <f t="shared" si="15"/>
        <v>622.49940226402782</v>
      </c>
      <c r="S41" s="18">
        <f t="shared" si="16"/>
        <v>6908.6536154071628</v>
      </c>
      <c r="T41" s="18">
        <f t="shared" si="17"/>
        <v>0</v>
      </c>
      <c r="U41" s="7"/>
      <c r="V41" s="18">
        <f t="shared" si="18"/>
        <v>1764.2286300276037</v>
      </c>
      <c r="W41" s="18">
        <f t="shared" si="19"/>
        <v>8263.8880817249592</v>
      </c>
      <c r="X41" s="18">
        <f t="shared" si="20"/>
        <v>2767.8709055480076</v>
      </c>
      <c r="Y41" s="7"/>
      <c r="Z41" s="18">
        <f t="shared" si="21"/>
        <v>1589.6494707388156</v>
      </c>
      <c r="AA41" s="18">
        <f t="shared" si="22"/>
        <v>6290.2566484336521</v>
      </c>
      <c r="AB41" s="18">
        <f t="shared" si="23"/>
        <v>2152.181891931697</v>
      </c>
    </row>
    <row r="42" spans="1:28" x14ac:dyDescent="0.35">
      <c r="A42" s="17">
        <v>2039</v>
      </c>
      <c r="B42" s="18">
        <f t="shared" si="12"/>
        <v>3838.4760089436572</v>
      </c>
      <c r="C42" s="18">
        <f t="shared" si="13"/>
        <v>15748.346775058624</v>
      </c>
      <c r="D42" s="18">
        <f t="shared" si="14"/>
        <v>10559.138608453077</v>
      </c>
      <c r="F42" s="21">
        <f>'EST Scenario projections'!D20</f>
        <v>0.14849999999999991</v>
      </c>
      <c r="G42" s="21">
        <f>'EST Scenario projections'!C20</f>
        <v>0.44500000000000006</v>
      </c>
      <c r="H42" s="21">
        <f>'EST Scenario projections'!E20</f>
        <v>0</v>
      </c>
      <c r="I42" s="7"/>
      <c r="J42" s="21">
        <f>'EST Scenario projections'!K20</f>
        <v>0.46956249999999983</v>
      </c>
      <c r="K42" s="21">
        <f>'EST Scenario projections'!J20</f>
        <v>0.54315625000000001</v>
      </c>
      <c r="L42" s="21">
        <f>'EST Scenario projections'!L20</f>
        <v>0.28162499999999996</v>
      </c>
      <c r="M42" s="7"/>
      <c r="N42" s="21">
        <f>'EST Scenario projections'!R20</f>
        <v>0.42088461538461575</v>
      </c>
      <c r="O42" s="21">
        <f>'EST Scenario projections'!Q20</f>
        <v>0.40848076923076909</v>
      </c>
      <c r="P42" s="21">
        <f>'EST Scenario projections'!S20</f>
        <v>0.21888461538461546</v>
      </c>
      <c r="R42" s="18">
        <f t="shared" si="15"/>
        <v>570.01368732813273</v>
      </c>
      <c r="S42" s="18">
        <f t="shared" si="16"/>
        <v>7008.0143149010892</v>
      </c>
      <c r="T42" s="18">
        <f t="shared" si="17"/>
        <v>0</v>
      </c>
      <c r="U42" s="7"/>
      <c r="V42" s="18">
        <f t="shared" si="18"/>
        <v>1802.4043909496054</v>
      </c>
      <c r="W42" s="18">
        <f t="shared" si="19"/>
        <v>8553.8129780404361</v>
      </c>
      <c r="X42" s="18">
        <f t="shared" si="20"/>
        <v>2973.7174106055973</v>
      </c>
      <c r="Y42" s="7"/>
      <c r="Z42" s="18">
        <f t="shared" si="21"/>
        <v>1615.555498687326</v>
      </c>
      <c r="AA42" s="18">
        <f t="shared" si="22"/>
        <v>6432.8968047888484</v>
      </c>
      <c r="AB42" s="18">
        <f t="shared" si="23"/>
        <v>2311.2329931040954</v>
      </c>
    </row>
    <row r="43" spans="1:28" x14ac:dyDescent="0.35">
      <c r="A43" s="17">
        <v>2040</v>
      </c>
      <c r="B43" s="18">
        <f t="shared" si="12"/>
        <v>3834.4578953996083</v>
      </c>
      <c r="C43" s="18">
        <f t="shared" si="13"/>
        <v>15795.720223752305</v>
      </c>
      <c r="D43" s="18">
        <f t="shared" si="14"/>
        <v>10604.489523171136</v>
      </c>
      <c r="F43" s="21">
        <f>'EST Scenario projections'!D21</f>
        <v>0.1349999999999999</v>
      </c>
      <c r="G43" s="21">
        <f>'EST Scenario projections'!C21</f>
        <v>0.45000000000000007</v>
      </c>
      <c r="H43" s="21">
        <f>'EST Scenario projections'!E21</f>
        <v>0</v>
      </c>
      <c r="I43" s="7"/>
      <c r="J43" s="21">
        <f>'EST Scenario projections'!K21</f>
        <v>0.48</v>
      </c>
      <c r="K43" s="21">
        <f>'EST Scenario projections'!J21</f>
        <v>0.56000000000000005</v>
      </c>
      <c r="L43" s="21">
        <f>'EST Scenario projections'!L21</f>
        <v>0.3</v>
      </c>
      <c r="M43" s="7"/>
      <c r="N43" s="21">
        <f>'EST Scenario projections'!R21</f>
        <v>0.42807692307692347</v>
      </c>
      <c r="O43" s="21">
        <f>'EST Scenario projections'!Q21</f>
        <v>0.4163461538461537</v>
      </c>
      <c r="P43" s="21">
        <f>'EST Scenario projections'!S21</f>
        <v>0.23307692307692315</v>
      </c>
      <c r="R43" s="18">
        <f t="shared" si="15"/>
        <v>517.65181587894676</v>
      </c>
      <c r="S43" s="18">
        <f t="shared" si="16"/>
        <v>7108.0741006885382</v>
      </c>
      <c r="T43" s="18">
        <f t="shared" si="17"/>
        <v>0</v>
      </c>
      <c r="U43" s="7"/>
      <c r="V43" s="18">
        <f t="shared" si="18"/>
        <v>1840.5397897918119</v>
      </c>
      <c r="W43" s="18">
        <f t="shared" si="19"/>
        <v>8845.603325301292</v>
      </c>
      <c r="X43" s="18">
        <f t="shared" si="20"/>
        <v>3181.3468569513407</v>
      </c>
      <c r="Y43" s="7"/>
      <c r="Z43" s="18">
        <f t="shared" si="21"/>
        <v>1641.44293753068</v>
      </c>
      <c r="AA43" s="18">
        <f t="shared" si="22"/>
        <v>6576.487362389179</v>
      </c>
      <c r="AB43" s="18">
        <f t="shared" si="23"/>
        <v>2471.6617888621963</v>
      </c>
    </row>
    <row r="44" spans="1:28" x14ac:dyDescent="0.35">
      <c r="A44" s="17">
        <v>2041</v>
      </c>
      <c r="B44" s="18">
        <f t="shared" si="12"/>
        <v>3830.4886081102045</v>
      </c>
      <c r="C44" s="18">
        <f t="shared" si="13"/>
        <v>15843.420733839606</v>
      </c>
      <c r="D44" s="18">
        <f t="shared" si="14"/>
        <v>10650.1592777407</v>
      </c>
      <c r="F44" s="21">
        <f>'EST Scenario projections'!D22</f>
        <v>0.1214999999999999</v>
      </c>
      <c r="G44" s="21">
        <f>'EST Scenario projections'!C22</f>
        <v>0.45500000000000007</v>
      </c>
      <c r="H44" s="21">
        <f>'EST Scenario projections'!E22</f>
        <v>0</v>
      </c>
      <c r="I44" s="7"/>
      <c r="J44" s="21">
        <f>'EST Scenario projections'!K22</f>
        <v>0.49399999999999999</v>
      </c>
      <c r="K44" s="21">
        <f>'EST Scenario projections'!J22</f>
        <v>0.56400000000000006</v>
      </c>
      <c r="L44" s="21">
        <f>'EST Scenario projections'!L22</f>
        <v>0.32999999999999996</v>
      </c>
      <c r="M44" s="7"/>
      <c r="N44" s="21">
        <f>'EST Scenario projections'!R22</f>
        <v>0.43526923076923119</v>
      </c>
      <c r="O44" s="21">
        <f>'EST Scenario projections'!Q22</f>
        <v>0.42421153846153831</v>
      </c>
      <c r="P44" s="21">
        <f>'EST Scenario projections'!S22</f>
        <v>0.24726923076923085</v>
      </c>
      <c r="R44" s="18">
        <f t="shared" si="15"/>
        <v>465.40436588538944</v>
      </c>
      <c r="S44" s="18">
        <f t="shared" si="16"/>
        <v>7208.7564338970224</v>
      </c>
      <c r="T44" s="18">
        <f t="shared" si="17"/>
        <v>0</v>
      </c>
      <c r="U44" s="7"/>
      <c r="V44" s="18">
        <f t="shared" si="18"/>
        <v>1892.2613724064411</v>
      </c>
      <c r="W44" s="18">
        <f t="shared" si="19"/>
        <v>8935.6892938855381</v>
      </c>
      <c r="X44" s="18">
        <f t="shared" si="20"/>
        <v>3514.5525616544305</v>
      </c>
      <c r="Y44" s="7"/>
      <c r="Z44" s="18">
        <f t="shared" si="21"/>
        <v>1667.2938299224318</v>
      </c>
      <c r="AA44" s="18">
        <f t="shared" si="22"/>
        <v>6720.9618839955338</v>
      </c>
      <c r="AB44" s="18">
        <f t="shared" si="23"/>
        <v>2633.45669217673</v>
      </c>
    </row>
    <row r="45" spans="1:28" x14ac:dyDescent="0.35">
      <c r="A45" s="17">
        <v>2042</v>
      </c>
      <c r="B45" s="18">
        <f t="shared" si="12"/>
        <v>3826.4389011072672</v>
      </c>
      <c r="C45" s="18">
        <f t="shared" si="13"/>
        <v>15890.914250894573</v>
      </c>
      <c r="D45" s="18">
        <f t="shared" si="14"/>
        <v>10695.789438579339</v>
      </c>
      <c r="F45" s="21">
        <f>'EST Scenario projections'!D23</f>
        <v>0.1079999999999999</v>
      </c>
      <c r="G45" s="21">
        <f>'EST Scenario projections'!C23</f>
        <v>0.46000000000000008</v>
      </c>
      <c r="H45" s="21">
        <f>'EST Scenario projections'!E23</f>
        <v>0</v>
      </c>
      <c r="I45" s="7"/>
      <c r="J45" s="21">
        <f>'EST Scenario projections'!K23</f>
        <v>0.50800000000000001</v>
      </c>
      <c r="K45" s="21">
        <f>'EST Scenario projections'!J23</f>
        <v>0.56800000000000006</v>
      </c>
      <c r="L45" s="21">
        <f>'EST Scenario projections'!L23</f>
        <v>0.36</v>
      </c>
      <c r="M45" s="7"/>
      <c r="N45" s="21">
        <f>'EST Scenario projections'!R23</f>
        <v>0.44246153846153891</v>
      </c>
      <c r="O45" s="21">
        <f>'EST Scenario projections'!Q23</f>
        <v>0.43207692307692291</v>
      </c>
      <c r="P45" s="21">
        <f>'EST Scenario projections'!S23</f>
        <v>0.26146153846153852</v>
      </c>
      <c r="R45" s="18">
        <f t="shared" si="15"/>
        <v>413.25540131958445</v>
      </c>
      <c r="S45" s="18">
        <f t="shared" si="16"/>
        <v>7309.8205554115048</v>
      </c>
      <c r="T45" s="18">
        <f t="shared" si="17"/>
        <v>0</v>
      </c>
      <c r="U45" s="7"/>
      <c r="V45" s="18">
        <f t="shared" si="18"/>
        <v>1943.8309617624918</v>
      </c>
      <c r="W45" s="18">
        <f t="shared" si="19"/>
        <v>9026.0392945081185</v>
      </c>
      <c r="X45" s="18">
        <f t="shared" si="20"/>
        <v>3850.484197888562</v>
      </c>
      <c r="Y45" s="7"/>
      <c r="Z45" s="18">
        <f t="shared" si="21"/>
        <v>1693.0520430130018</v>
      </c>
      <c r="AA45" s="18">
        <f t="shared" si="22"/>
        <v>6866.0973344057529</v>
      </c>
      <c r="AB45" s="18">
        <f t="shared" si="23"/>
        <v>2796.5375616716292</v>
      </c>
    </row>
    <row r="46" spans="1:28" x14ac:dyDescent="0.35">
      <c r="A46" s="17">
        <v>2043</v>
      </c>
      <c r="B46" s="18">
        <f t="shared" si="12"/>
        <v>3822.262820268777</v>
      </c>
      <c r="C46" s="18">
        <f t="shared" si="13"/>
        <v>15938.005334114221</v>
      </c>
      <c r="D46" s="18">
        <f t="shared" si="14"/>
        <v>10741.247934950721</v>
      </c>
      <c r="F46" s="21">
        <f>'EST Scenario projections'!D24</f>
        <v>9.4499999999999904E-2</v>
      </c>
      <c r="G46" s="21">
        <f>'EST Scenario projections'!C24</f>
        <v>0.46500000000000008</v>
      </c>
      <c r="H46" s="21">
        <f>'EST Scenario projections'!E24</f>
        <v>0</v>
      </c>
      <c r="I46" s="7"/>
      <c r="J46" s="21">
        <f>'EST Scenario projections'!K24</f>
        <v>0.52200000000000002</v>
      </c>
      <c r="K46" s="21">
        <f>'EST Scenario projections'!J24</f>
        <v>0.57200000000000006</v>
      </c>
      <c r="L46" s="21">
        <f>'EST Scenario projections'!L24</f>
        <v>0.39</v>
      </c>
      <c r="M46" s="7"/>
      <c r="N46" s="21">
        <f>'EST Scenario projections'!R24</f>
        <v>0.44965384615384663</v>
      </c>
      <c r="O46" s="21">
        <f>'EST Scenario projections'!Q24</f>
        <v>0.43994230769230752</v>
      </c>
      <c r="P46" s="21">
        <f>'EST Scenario projections'!S24</f>
        <v>0.27565384615384619</v>
      </c>
      <c r="R46" s="18">
        <f t="shared" si="15"/>
        <v>361.20383651539908</v>
      </c>
      <c r="S46" s="18">
        <f t="shared" si="16"/>
        <v>7411.1724803631141</v>
      </c>
      <c r="T46" s="18">
        <f t="shared" si="17"/>
        <v>0</v>
      </c>
      <c r="U46" s="7"/>
      <c r="V46" s="18">
        <f t="shared" si="18"/>
        <v>1995.2211921803016</v>
      </c>
      <c r="W46" s="18">
        <f t="shared" si="19"/>
        <v>9116.5390511133355</v>
      </c>
      <c r="X46" s="18">
        <f t="shared" si="20"/>
        <v>4189.0866946307815</v>
      </c>
      <c r="Y46" s="7"/>
      <c r="Z46" s="18">
        <f t="shared" si="21"/>
        <v>1718.6951781447046</v>
      </c>
      <c r="AA46" s="18">
        <f t="shared" si="22"/>
        <v>7011.8028467025169</v>
      </c>
      <c r="AB46" s="18">
        <f t="shared" si="23"/>
        <v>2960.8663057612243</v>
      </c>
    </row>
    <row r="47" spans="1:28" x14ac:dyDescent="0.35">
      <c r="A47" s="17">
        <v>2044</v>
      </c>
      <c r="B47" s="18">
        <f t="shared" si="12"/>
        <v>3817.8742016159486</v>
      </c>
      <c r="C47" s="18">
        <f t="shared" si="13"/>
        <v>15984.327051341457</v>
      </c>
      <c r="D47" s="18">
        <f t="shared" si="14"/>
        <v>10786.286296080434</v>
      </c>
      <c r="F47" s="21">
        <f>'EST Scenario projections'!D25</f>
        <v>8.0999999999999905E-2</v>
      </c>
      <c r="G47" s="21">
        <f>'EST Scenario projections'!C25</f>
        <v>0.47000000000000008</v>
      </c>
      <c r="H47" s="21">
        <f>'EST Scenario projections'!E25</f>
        <v>0</v>
      </c>
      <c r="I47" s="7"/>
      <c r="J47" s="21">
        <f>'EST Scenario projections'!K25</f>
        <v>0.53600000000000003</v>
      </c>
      <c r="K47" s="21">
        <f>'EST Scenario projections'!J25</f>
        <v>0.57600000000000007</v>
      </c>
      <c r="L47" s="21">
        <f>'EST Scenario projections'!L25</f>
        <v>0.42000000000000004</v>
      </c>
      <c r="M47" s="7"/>
      <c r="N47" s="21">
        <f>'EST Scenario projections'!R25</f>
        <v>0.45684615384615435</v>
      </c>
      <c r="O47" s="21">
        <f>'EST Scenario projections'!Q25</f>
        <v>0.44780769230769213</v>
      </c>
      <c r="P47" s="21">
        <f>'EST Scenario projections'!S25</f>
        <v>0.28984615384615386</v>
      </c>
      <c r="R47" s="18">
        <f t="shared" si="15"/>
        <v>309.24781033089147</v>
      </c>
      <c r="S47" s="18">
        <f t="shared" si="16"/>
        <v>7512.6337141304866</v>
      </c>
      <c r="T47" s="18">
        <f t="shared" si="17"/>
        <v>0</v>
      </c>
      <c r="U47" s="7"/>
      <c r="V47" s="18">
        <f t="shared" si="18"/>
        <v>2046.3805720661485</v>
      </c>
      <c r="W47" s="18">
        <f t="shared" si="19"/>
        <v>9206.9723815726811</v>
      </c>
      <c r="X47" s="18">
        <f t="shared" si="20"/>
        <v>4530.2402443537831</v>
      </c>
      <c r="Y47" s="7"/>
      <c r="Z47" s="18">
        <f t="shared" si="21"/>
        <v>1744.1811448767032</v>
      </c>
      <c r="AA47" s="18">
        <f t="shared" si="22"/>
        <v>7157.9046099526349</v>
      </c>
      <c r="AB47" s="18">
        <f t="shared" si="23"/>
        <v>3126.3635972023908</v>
      </c>
    </row>
    <row r="48" spans="1:28" x14ac:dyDescent="0.35">
      <c r="A48" s="17">
        <v>2045</v>
      </c>
      <c r="B48" s="18">
        <f t="shared" si="12"/>
        <v>3813.2787894140338</v>
      </c>
      <c r="C48" s="18">
        <f t="shared" si="13"/>
        <v>16029.892915798153</v>
      </c>
      <c r="D48" s="18">
        <f t="shared" si="14"/>
        <v>10830.911833550832</v>
      </c>
      <c r="F48" s="21">
        <f>'EST Scenario projections'!D26</f>
        <v>6.7499999999999907E-2</v>
      </c>
      <c r="G48" s="21">
        <f>'EST Scenario projections'!C26</f>
        <v>0.47500000000000009</v>
      </c>
      <c r="H48" s="21">
        <f>'EST Scenario projections'!E26</f>
        <v>0</v>
      </c>
      <c r="I48" s="7"/>
      <c r="J48" s="21">
        <f>'EST Scenario projections'!K26</f>
        <v>0.55000000000000004</v>
      </c>
      <c r="K48" s="21">
        <f>'EST Scenario projections'!J26</f>
        <v>0.58000000000000007</v>
      </c>
      <c r="L48" s="21">
        <f>'EST Scenario projections'!L26</f>
        <v>0.45000000000000007</v>
      </c>
      <c r="M48" s="7"/>
      <c r="N48" s="21">
        <f>'EST Scenario projections'!R26</f>
        <v>0.46403846153846207</v>
      </c>
      <c r="O48" s="21">
        <f>'EST Scenario projections'!Q26</f>
        <v>0.45567307692307674</v>
      </c>
      <c r="P48" s="21">
        <f>'EST Scenario projections'!S26</f>
        <v>0.30403846153846154</v>
      </c>
      <c r="R48" s="18">
        <f t="shared" si="15"/>
        <v>257.39631828544691</v>
      </c>
      <c r="S48" s="18">
        <f t="shared" si="16"/>
        <v>7614.1991350041244</v>
      </c>
      <c r="T48" s="18">
        <f t="shared" si="17"/>
        <v>0</v>
      </c>
      <c r="U48" s="7"/>
      <c r="V48" s="18">
        <f t="shared" si="18"/>
        <v>2097.3033341777186</v>
      </c>
      <c r="W48" s="18">
        <f t="shared" si="19"/>
        <v>9297.3378911629297</v>
      </c>
      <c r="X48" s="18">
        <f t="shared" si="20"/>
        <v>4873.9103250978751</v>
      </c>
      <c r="Y48" s="7"/>
      <c r="Z48" s="18">
        <f t="shared" si="21"/>
        <v>1769.5080228569373</v>
      </c>
      <c r="AA48" s="18">
        <f t="shared" si="22"/>
        <v>7304.3906276891748</v>
      </c>
      <c r="AB48" s="18">
        <f t="shared" si="23"/>
        <v>3293.0137709315127</v>
      </c>
    </row>
    <row r="49" spans="1:28" x14ac:dyDescent="0.35">
      <c r="A49" s="17">
        <v>2046</v>
      </c>
      <c r="B49" s="18">
        <f t="shared" si="12"/>
        <v>3808.4248852757614</v>
      </c>
      <c r="C49" s="18">
        <f t="shared" si="13"/>
        <v>16074.474292408244</v>
      </c>
      <c r="D49" s="18">
        <f t="shared" si="14"/>
        <v>10874.968078814851</v>
      </c>
      <c r="F49" s="21">
        <f>'EST Scenario projections'!D27</f>
        <v>5.3999999999999909E-2</v>
      </c>
      <c r="G49" s="21">
        <f>'EST Scenario projections'!C27</f>
        <v>0.48000000000000009</v>
      </c>
      <c r="H49" s="21">
        <f>'EST Scenario projections'!E27</f>
        <v>0</v>
      </c>
      <c r="I49" s="7"/>
      <c r="J49" s="21">
        <f>'EST Scenario projections'!K27</f>
        <v>0.56400000000000006</v>
      </c>
      <c r="K49" s="21">
        <f>'EST Scenario projections'!J27</f>
        <v>0.58400000000000007</v>
      </c>
      <c r="L49" s="21">
        <f>'EST Scenario projections'!L27</f>
        <v>0.48000000000000009</v>
      </c>
      <c r="M49" s="7"/>
      <c r="N49" s="21">
        <f>'EST Scenario projections'!R27</f>
        <v>0.47123076923076979</v>
      </c>
      <c r="O49" s="21">
        <f>'EST Scenario projections'!Q27</f>
        <v>0.46353846153846134</v>
      </c>
      <c r="P49" s="21">
        <f>'EST Scenario projections'!S27</f>
        <v>0.31823076923076921</v>
      </c>
      <c r="R49" s="18">
        <f t="shared" si="15"/>
        <v>205.65494380489076</v>
      </c>
      <c r="S49" s="18">
        <f t="shared" si="16"/>
        <v>7715.7476603559589</v>
      </c>
      <c r="T49" s="18">
        <f t="shared" si="17"/>
        <v>0</v>
      </c>
      <c r="U49" s="7"/>
      <c r="V49" s="18">
        <f t="shared" si="18"/>
        <v>2147.9516352955297</v>
      </c>
      <c r="W49" s="18">
        <f t="shared" si="19"/>
        <v>9387.4929867664159</v>
      </c>
      <c r="X49" s="18">
        <f t="shared" si="20"/>
        <v>5219.9846778311294</v>
      </c>
      <c r="Y49" s="7"/>
      <c r="Z49" s="18">
        <f t="shared" si="21"/>
        <v>1794.6469882461033</v>
      </c>
      <c r="AA49" s="18">
        <f t="shared" si="22"/>
        <v>7451.1370835424641</v>
      </c>
      <c r="AB49" s="18">
        <f t="shared" si="23"/>
        <v>3460.7494570813101</v>
      </c>
    </row>
    <row r="50" spans="1:28" x14ac:dyDescent="0.35">
      <c r="A50" s="17">
        <v>2047</v>
      </c>
      <c r="B50" s="18">
        <f t="shared" si="12"/>
        <v>3803.2780236096173</v>
      </c>
      <c r="C50" s="18">
        <f t="shared" si="13"/>
        <v>16117.911947448209</v>
      </c>
      <c r="D50" s="18">
        <f t="shared" si="14"/>
        <v>10918.344777582757</v>
      </c>
      <c r="F50" s="21">
        <f>'EST Scenario projections'!D28</f>
        <v>4.0499999999999911E-2</v>
      </c>
      <c r="G50" s="21">
        <f>'EST Scenario projections'!C28</f>
        <v>0.4850000000000001</v>
      </c>
      <c r="H50" s="21">
        <f>'EST Scenario projections'!E28</f>
        <v>0</v>
      </c>
      <c r="I50" s="7"/>
      <c r="J50" s="21">
        <f>'EST Scenario projections'!K28</f>
        <v>0.57800000000000007</v>
      </c>
      <c r="K50" s="21">
        <f>'EST Scenario projections'!J28</f>
        <v>0.58800000000000008</v>
      </c>
      <c r="L50" s="21">
        <f>'EST Scenario projections'!L28</f>
        <v>0.51000000000000012</v>
      </c>
      <c r="M50" s="7"/>
      <c r="N50" s="21">
        <f>'EST Scenario projections'!R28</f>
        <v>0.47842307692307751</v>
      </c>
      <c r="O50" s="21">
        <f>'EST Scenario projections'!Q28</f>
        <v>0.47140384615384595</v>
      </c>
      <c r="P50" s="21">
        <f>'EST Scenario projections'!S28</f>
        <v>0.33242307692307688</v>
      </c>
      <c r="R50" s="18">
        <f t="shared" si="15"/>
        <v>154.03275995618915</v>
      </c>
      <c r="S50" s="18">
        <f t="shared" si="16"/>
        <v>7817.1872945123823</v>
      </c>
      <c r="T50" s="18">
        <f t="shared" si="17"/>
        <v>0</v>
      </c>
      <c r="U50" s="7"/>
      <c r="V50" s="18">
        <f t="shared" si="18"/>
        <v>2198.2946976463591</v>
      </c>
      <c r="W50" s="18">
        <f t="shared" si="19"/>
        <v>9477.3322250995479</v>
      </c>
      <c r="X50" s="18">
        <f t="shared" si="20"/>
        <v>5568.355836567207</v>
      </c>
      <c r="Y50" s="7"/>
      <c r="Z50" s="18">
        <f t="shared" si="21"/>
        <v>1819.5759744492341</v>
      </c>
      <c r="AA50" s="18">
        <f t="shared" si="22"/>
        <v>7598.0456839961107</v>
      </c>
      <c r="AB50" s="18">
        <f t="shared" si="23"/>
        <v>3629.5097658710674</v>
      </c>
    </row>
    <row r="51" spans="1:28" x14ac:dyDescent="0.35">
      <c r="A51" s="17">
        <v>2048</v>
      </c>
      <c r="B51" s="18">
        <f t="shared" si="12"/>
        <v>3797.8180994872173</v>
      </c>
      <c r="C51" s="18">
        <f t="shared" si="13"/>
        <v>16160.105273020565</v>
      </c>
      <c r="D51" s="18">
        <f t="shared" si="14"/>
        <v>10960.970880082927</v>
      </c>
      <c r="F51" s="21">
        <f>'EST Scenario projections'!D29</f>
        <v>2.6999999999999909E-2</v>
      </c>
      <c r="G51" s="21">
        <f>'EST Scenario projections'!C29</f>
        <v>0.4900000000000001</v>
      </c>
      <c r="H51" s="21">
        <f>'EST Scenario projections'!E29</f>
        <v>0</v>
      </c>
      <c r="I51" s="7"/>
      <c r="J51" s="21">
        <f>'EST Scenario projections'!K29</f>
        <v>0.59200000000000008</v>
      </c>
      <c r="K51" s="21">
        <f>'EST Scenario projections'!J29</f>
        <v>0.59200000000000008</v>
      </c>
      <c r="L51" s="21">
        <f>'EST Scenario projections'!L29</f>
        <v>0.54000000000000015</v>
      </c>
      <c r="M51" s="7"/>
      <c r="N51" s="21">
        <f>'EST Scenario projections'!R29</f>
        <v>0.48561538461538523</v>
      </c>
      <c r="O51" s="21">
        <f>'EST Scenario projections'!Q29</f>
        <v>0.47926923076923056</v>
      </c>
      <c r="P51" s="21">
        <f>'EST Scenario projections'!S29</f>
        <v>0.34661538461538455</v>
      </c>
      <c r="R51" s="18">
        <f t="shared" si="15"/>
        <v>102.54108868615452</v>
      </c>
      <c r="S51" s="18">
        <f t="shared" si="16"/>
        <v>7918.4515837800782</v>
      </c>
      <c r="T51" s="18">
        <f t="shared" si="17"/>
        <v>0</v>
      </c>
      <c r="U51" s="7"/>
      <c r="V51" s="18">
        <f t="shared" si="18"/>
        <v>2248.3083148964329</v>
      </c>
      <c r="W51" s="18">
        <f t="shared" si="19"/>
        <v>9566.7823216281759</v>
      </c>
      <c r="X51" s="18">
        <f t="shared" si="20"/>
        <v>5918.9242752447817</v>
      </c>
      <c r="Y51" s="7"/>
      <c r="Z51" s="18">
        <f t="shared" si="21"/>
        <v>1844.2788970817564</v>
      </c>
      <c r="AA51" s="18">
        <f t="shared" si="22"/>
        <v>7745.041223350353</v>
      </c>
      <c r="AB51" s="18">
        <f t="shared" si="23"/>
        <v>3799.2411373579735</v>
      </c>
    </row>
    <row r="52" spans="1:28" x14ac:dyDescent="0.35">
      <c r="A52" s="17">
        <v>2049</v>
      </c>
      <c r="B52" s="18">
        <f t="shared" si="12"/>
        <v>3791.9876702560382</v>
      </c>
      <c r="C52" s="18">
        <f t="shared" si="13"/>
        <v>16200.792627570849</v>
      </c>
      <c r="D52" s="18">
        <f t="shared" si="14"/>
        <v>11002.665614002059</v>
      </c>
      <c r="F52" s="21">
        <f>'EST Scenario projections'!D30</f>
        <v>1.3499999999999908E-2</v>
      </c>
      <c r="G52" s="21">
        <f>'EST Scenario projections'!C30</f>
        <v>0.49500000000000011</v>
      </c>
      <c r="H52" s="21">
        <f>'EST Scenario projections'!E30</f>
        <v>0</v>
      </c>
      <c r="I52" s="7"/>
      <c r="J52" s="21">
        <f>'EST Scenario projections'!K30</f>
        <v>0.60600000000000009</v>
      </c>
      <c r="K52" s="21">
        <f>'EST Scenario projections'!J30</f>
        <v>0.59600000000000009</v>
      </c>
      <c r="L52" s="21">
        <f>'EST Scenario projections'!L30</f>
        <v>0.57000000000000017</v>
      </c>
      <c r="M52" s="7"/>
      <c r="N52" s="21">
        <f>'EST Scenario projections'!R30</f>
        <v>0.49280769230769295</v>
      </c>
      <c r="O52" s="21">
        <f>'EST Scenario projections'!Q30</f>
        <v>0.48713461538461517</v>
      </c>
      <c r="P52" s="21">
        <f>'EST Scenario projections'!S30</f>
        <v>0.36080769230769222</v>
      </c>
      <c r="R52" s="18">
        <f t="shared" si="15"/>
        <v>51.191833548456167</v>
      </c>
      <c r="S52" s="18">
        <f t="shared" si="16"/>
        <v>8019.3923506475721</v>
      </c>
      <c r="T52" s="18">
        <f t="shared" si="17"/>
        <v>0</v>
      </c>
      <c r="U52" s="7"/>
      <c r="V52" s="18">
        <f t="shared" si="18"/>
        <v>2297.9445281751596</v>
      </c>
      <c r="W52" s="18">
        <f t="shared" si="19"/>
        <v>9655.6724060322267</v>
      </c>
      <c r="X52" s="18">
        <f t="shared" si="20"/>
        <v>6271.5193999811754</v>
      </c>
      <c r="Y52" s="7"/>
      <c r="Z52" s="18">
        <f t="shared" si="21"/>
        <v>1868.720693038103</v>
      </c>
      <c r="AA52" s="18">
        <f t="shared" si="22"/>
        <v>7891.9668855576347</v>
      </c>
      <c r="AB52" s="18">
        <f t="shared" si="23"/>
        <v>3969.84638942128</v>
      </c>
    </row>
    <row r="53" spans="1:28" x14ac:dyDescent="0.35">
      <c r="A53" s="17">
        <v>2050</v>
      </c>
      <c r="B53" s="18">
        <f t="shared" si="12"/>
        <v>3785.720676865677</v>
      </c>
      <c r="C53" s="18">
        <f t="shared" si="13"/>
        <v>16305.591397796441</v>
      </c>
      <c r="D53" s="18">
        <f t="shared" si="14"/>
        <v>11102.271215268844</v>
      </c>
      <c r="F53" s="21">
        <f>'EST Scenario projections'!D31</f>
        <v>0</v>
      </c>
      <c r="G53" s="21">
        <f>'EST Scenario projections'!C31</f>
        <v>0.5</v>
      </c>
      <c r="H53" s="21">
        <f>'EST Scenario projections'!E31</f>
        <v>0</v>
      </c>
      <c r="I53" s="7"/>
      <c r="J53" s="21">
        <f>'EST Scenario projections'!K31</f>
        <v>0.62</v>
      </c>
      <c r="K53" s="21">
        <f>'EST Scenario projections'!J31</f>
        <v>0.6</v>
      </c>
      <c r="L53" s="21">
        <f>'EST Scenario projections'!L31</f>
        <v>0.6</v>
      </c>
      <c r="M53" s="7"/>
      <c r="N53" s="21">
        <f>'EST Scenario projections'!R31</f>
        <v>0.5</v>
      </c>
      <c r="O53" s="21">
        <f>'EST Scenario projections'!Q31</f>
        <v>0.495</v>
      </c>
      <c r="P53" s="21">
        <f>'EST Scenario projections'!S31</f>
        <v>0.375</v>
      </c>
      <c r="R53" s="18">
        <f t="shared" si="15"/>
        <v>0</v>
      </c>
      <c r="S53" s="18">
        <f t="shared" si="16"/>
        <v>8152.7956988982205</v>
      </c>
      <c r="T53" s="18">
        <f t="shared" si="17"/>
        <v>0</v>
      </c>
      <c r="U53" s="7"/>
      <c r="V53" s="18">
        <f t="shared" si="18"/>
        <v>2347.1468196567198</v>
      </c>
      <c r="W53" s="18">
        <f t="shared" si="19"/>
        <v>9783.3548386778639</v>
      </c>
      <c r="X53" s="18">
        <f t="shared" si="20"/>
        <v>6661.3627291613057</v>
      </c>
      <c r="Y53" s="7"/>
      <c r="Z53" s="18">
        <f t="shared" si="21"/>
        <v>1892.8603384328385</v>
      </c>
      <c r="AA53" s="18">
        <f t="shared" si="22"/>
        <v>8071.2677419092379</v>
      </c>
      <c r="AB53" s="18">
        <f t="shared" si="23"/>
        <v>4163.3517057258159</v>
      </c>
    </row>
    <row r="57" spans="1:28" ht="32" customHeight="1" x14ac:dyDescent="0.35">
      <c r="A57" s="11" t="s">
        <v>70</v>
      </c>
      <c r="B57" s="11" t="s">
        <v>130</v>
      </c>
      <c r="C57" s="11" t="s">
        <v>131</v>
      </c>
      <c r="D57" s="11" t="s">
        <v>132</v>
      </c>
      <c r="E57" s="11" t="s">
        <v>129</v>
      </c>
    </row>
    <row r="58" spans="1:28" x14ac:dyDescent="0.35">
      <c r="A58" s="17">
        <v>2000</v>
      </c>
      <c r="B58" s="34">
        <v>6747</v>
      </c>
      <c r="C58" s="18">
        <f t="shared" ref="C58:C81" si="24">B58*1000</f>
        <v>6747000</v>
      </c>
      <c r="D58" s="13">
        <v>1401250</v>
      </c>
      <c r="E58" s="45">
        <f t="shared" ref="E58:E81" si="25">C58/D58</f>
        <v>4.8149866190900985</v>
      </c>
    </row>
    <row r="59" spans="1:28" x14ac:dyDescent="0.35">
      <c r="A59" s="17">
        <v>2001</v>
      </c>
      <c r="B59" s="34">
        <v>7485</v>
      </c>
      <c r="C59" s="18">
        <f t="shared" si="24"/>
        <v>7485000</v>
      </c>
      <c r="D59" s="13">
        <v>1392720</v>
      </c>
      <c r="E59" s="45">
        <f t="shared" si="25"/>
        <v>5.3743753231087368</v>
      </c>
    </row>
    <row r="60" spans="1:28" x14ac:dyDescent="0.35">
      <c r="A60" s="17">
        <v>2002</v>
      </c>
      <c r="B60" s="34">
        <v>6803</v>
      </c>
      <c r="C60" s="18">
        <f t="shared" si="24"/>
        <v>6803000</v>
      </c>
      <c r="D60" s="13">
        <v>1383510</v>
      </c>
      <c r="E60" s="45">
        <f t="shared" si="25"/>
        <v>4.9172033451149613</v>
      </c>
    </row>
    <row r="61" spans="1:28" x14ac:dyDescent="0.35">
      <c r="A61" s="17">
        <v>2003</v>
      </c>
      <c r="B61" s="34">
        <v>7730</v>
      </c>
      <c r="C61" s="18">
        <f t="shared" si="24"/>
        <v>7730000</v>
      </c>
      <c r="D61" s="13">
        <v>1375190</v>
      </c>
      <c r="E61" s="45">
        <f t="shared" si="25"/>
        <v>5.6210414560897037</v>
      </c>
    </row>
    <row r="62" spans="1:28" x14ac:dyDescent="0.35">
      <c r="A62" s="17">
        <v>2004</v>
      </c>
      <c r="B62" s="34">
        <v>7937</v>
      </c>
      <c r="C62" s="18">
        <f t="shared" si="24"/>
        <v>7937000</v>
      </c>
      <c r="D62" s="13">
        <v>1366250</v>
      </c>
      <c r="E62" s="45">
        <f t="shared" si="25"/>
        <v>5.809332113449222</v>
      </c>
    </row>
    <row r="63" spans="1:28" x14ac:dyDescent="0.35">
      <c r="A63" s="17">
        <v>2005</v>
      </c>
      <c r="B63" s="34">
        <v>8268</v>
      </c>
      <c r="C63" s="18">
        <f t="shared" si="24"/>
        <v>8268000</v>
      </c>
      <c r="D63" s="13">
        <v>1358850</v>
      </c>
      <c r="E63" s="45">
        <f t="shared" si="25"/>
        <v>6.0845567943481624</v>
      </c>
    </row>
    <row r="64" spans="1:28" x14ac:dyDescent="0.35">
      <c r="A64" s="17">
        <v>2006</v>
      </c>
      <c r="B64" s="34">
        <v>7968</v>
      </c>
      <c r="C64" s="18">
        <f t="shared" si="24"/>
        <v>7968000</v>
      </c>
      <c r="D64" s="13">
        <v>1350700</v>
      </c>
      <c r="E64" s="45">
        <f t="shared" si="25"/>
        <v>5.8991633967572366</v>
      </c>
    </row>
    <row r="65" spans="1:10" x14ac:dyDescent="0.35">
      <c r="A65" s="17">
        <v>2007</v>
      </c>
      <c r="B65" s="34">
        <v>8790</v>
      </c>
      <c r="C65" s="18">
        <f t="shared" si="24"/>
        <v>8790000</v>
      </c>
      <c r="D65" s="13">
        <v>1342920</v>
      </c>
      <c r="E65" s="45">
        <f t="shared" si="25"/>
        <v>6.5454382986328303</v>
      </c>
    </row>
    <row r="66" spans="1:10" x14ac:dyDescent="0.35">
      <c r="A66" s="17">
        <v>2008</v>
      </c>
      <c r="B66" s="34">
        <v>8518</v>
      </c>
      <c r="C66" s="18">
        <f t="shared" si="24"/>
        <v>8518000</v>
      </c>
      <c r="D66" s="13">
        <v>1338440</v>
      </c>
      <c r="E66" s="45">
        <f t="shared" si="25"/>
        <v>6.3641253997190761</v>
      </c>
    </row>
    <row r="67" spans="1:10" x14ac:dyDescent="0.35">
      <c r="A67" s="17">
        <v>2009</v>
      </c>
      <c r="B67" s="34">
        <v>6167</v>
      </c>
      <c r="C67" s="18">
        <f t="shared" si="24"/>
        <v>6167000</v>
      </c>
      <c r="D67" s="13">
        <v>1335740</v>
      </c>
      <c r="E67" s="45">
        <f t="shared" si="25"/>
        <v>4.6169164657792683</v>
      </c>
    </row>
    <row r="68" spans="1:10" x14ac:dyDescent="0.35">
      <c r="A68" s="17">
        <v>2010</v>
      </c>
      <c r="B68" s="34">
        <v>6723</v>
      </c>
      <c r="C68" s="18">
        <f t="shared" si="24"/>
        <v>6723000</v>
      </c>
      <c r="D68" s="13">
        <v>1333290</v>
      </c>
      <c r="E68" s="45">
        <f t="shared" si="25"/>
        <v>5.0424138784510495</v>
      </c>
    </row>
    <row r="69" spans="1:10" x14ac:dyDescent="0.35">
      <c r="A69" s="17">
        <v>2011</v>
      </c>
      <c r="B69" s="34">
        <v>6822</v>
      </c>
      <c r="C69" s="18">
        <f t="shared" si="24"/>
        <v>6822000</v>
      </c>
      <c r="D69" s="13">
        <v>1329660</v>
      </c>
      <c r="E69" s="45">
        <f t="shared" si="25"/>
        <v>5.1306348991471502</v>
      </c>
    </row>
    <row r="70" spans="1:10" x14ac:dyDescent="0.35">
      <c r="A70" s="17">
        <v>2012</v>
      </c>
      <c r="B70" s="34">
        <v>6570</v>
      </c>
      <c r="C70" s="18">
        <f t="shared" si="24"/>
        <v>6570000</v>
      </c>
      <c r="D70" s="13">
        <v>1325217</v>
      </c>
      <c r="E70" s="45">
        <f t="shared" si="25"/>
        <v>4.9576786292358159</v>
      </c>
    </row>
    <row r="71" spans="1:10" x14ac:dyDescent="0.35">
      <c r="A71" s="17">
        <v>2013</v>
      </c>
      <c r="B71" s="34">
        <v>7446</v>
      </c>
      <c r="C71" s="18">
        <f t="shared" si="24"/>
        <v>7446000</v>
      </c>
      <c r="D71" s="13">
        <v>1320174</v>
      </c>
      <c r="E71" s="45">
        <f t="shared" si="25"/>
        <v>5.6401656145326298</v>
      </c>
    </row>
    <row r="72" spans="1:10" x14ac:dyDescent="0.35">
      <c r="A72" s="17">
        <v>2014</v>
      </c>
      <c r="B72" s="34">
        <v>6470</v>
      </c>
      <c r="C72" s="18">
        <f t="shared" si="24"/>
        <v>6470000</v>
      </c>
      <c r="D72" s="13">
        <v>1315819</v>
      </c>
      <c r="E72" s="45">
        <f t="shared" si="25"/>
        <v>4.9170896605080179</v>
      </c>
    </row>
    <row r="73" spans="1:10" x14ac:dyDescent="0.35">
      <c r="A73" s="17">
        <v>2015</v>
      </c>
      <c r="B73" s="34">
        <v>6229</v>
      </c>
      <c r="C73" s="18">
        <f t="shared" si="24"/>
        <v>6229000</v>
      </c>
      <c r="D73" s="13">
        <v>1313271</v>
      </c>
      <c r="E73" s="45">
        <f t="shared" si="25"/>
        <v>4.7431185185692826</v>
      </c>
    </row>
    <row r="74" spans="1:10" x14ac:dyDescent="0.35">
      <c r="A74" s="17">
        <v>2016</v>
      </c>
      <c r="B74" s="34">
        <v>5331</v>
      </c>
      <c r="C74" s="18">
        <f t="shared" si="24"/>
        <v>5331000</v>
      </c>
      <c r="D74" s="13">
        <v>1315944</v>
      </c>
      <c r="E74" s="45">
        <f t="shared" si="25"/>
        <v>4.0510842406667757</v>
      </c>
    </row>
    <row r="75" spans="1:10" x14ac:dyDescent="0.35">
      <c r="A75" s="17">
        <v>2017</v>
      </c>
      <c r="B75" s="34">
        <v>5420</v>
      </c>
      <c r="C75" s="18">
        <f t="shared" si="24"/>
        <v>5420000</v>
      </c>
      <c r="D75" s="13">
        <v>1315635</v>
      </c>
      <c r="E75" s="45">
        <f t="shared" si="25"/>
        <v>4.1196836508606109</v>
      </c>
    </row>
    <row r="76" spans="1:10" x14ac:dyDescent="0.35">
      <c r="A76" s="17">
        <v>2018</v>
      </c>
      <c r="B76" s="34">
        <v>5657</v>
      </c>
      <c r="C76" s="18">
        <f t="shared" si="24"/>
        <v>5657000</v>
      </c>
      <c r="D76" s="13">
        <v>1319133</v>
      </c>
      <c r="E76" s="45">
        <f t="shared" si="25"/>
        <v>4.2884227746557775</v>
      </c>
    </row>
    <row r="77" spans="1:10" x14ac:dyDescent="0.35">
      <c r="A77" s="17">
        <v>2019</v>
      </c>
      <c r="B77" s="34">
        <v>5348</v>
      </c>
      <c r="C77" s="18">
        <f t="shared" si="24"/>
        <v>5348000</v>
      </c>
      <c r="D77" s="13">
        <v>1324820</v>
      </c>
      <c r="E77" s="45">
        <f t="shared" si="25"/>
        <v>4.0367748071436118</v>
      </c>
    </row>
    <row r="78" spans="1:10" x14ac:dyDescent="0.35">
      <c r="A78" s="17">
        <v>2020</v>
      </c>
      <c r="B78" s="34">
        <v>4753</v>
      </c>
      <c r="C78" s="18">
        <f t="shared" si="24"/>
        <v>4753000</v>
      </c>
      <c r="D78" s="13">
        <v>1328889</v>
      </c>
      <c r="E78" s="45">
        <f t="shared" si="25"/>
        <v>3.5766719417498378</v>
      </c>
    </row>
    <row r="79" spans="1:10" x14ac:dyDescent="0.35">
      <c r="A79" s="17">
        <v>2021</v>
      </c>
      <c r="B79" s="34">
        <v>4464</v>
      </c>
      <c r="C79" s="18">
        <f t="shared" si="24"/>
        <v>4464000</v>
      </c>
      <c r="D79" s="13">
        <v>1330068</v>
      </c>
      <c r="E79" s="45">
        <f t="shared" si="25"/>
        <v>3.3562193812647174</v>
      </c>
      <c r="H79" s="9" t="s">
        <v>133</v>
      </c>
    </row>
    <row r="80" spans="1:10" x14ac:dyDescent="0.35">
      <c r="A80" s="17">
        <v>2022</v>
      </c>
      <c r="B80" s="34">
        <v>4175</v>
      </c>
      <c r="C80" s="18">
        <f t="shared" si="24"/>
        <v>4175000</v>
      </c>
      <c r="D80" s="13">
        <v>1331796</v>
      </c>
      <c r="E80" s="45">
        <f t="shared" si="25"/>
        <v>3.1348644987670786</v>
      </c>
      <c r="J80" s="7"/>
    </row>
    <row r="81" spans="1:7" x14ac:dyDescent="0.35">
      <c r="A81" s="17">
        <v>2023</v>
      </c>
      <c r="B81" s="34">
        <v>3923</v>
      </c>
      <c r="C81" s="18">
        <f t="shared" si="24"/>
        <v>3923000</v>
      </c>
      <c r="D81" s="13">
        <v>1365884</v>
      </c>
      <c r="E81" s="45">
        <f t="shared" si="25"/>
        <v>2.8721326261966609</v>
      </c>
      <c r="F81" s="32">
        <f>(E81/E77)^(1/5)-1</f>
        <v>-6.5812625507768563E-2</v>
      </c>
      <c r="G81" s="45">
        <f>AVERAGE(E70:E81)</f>
        <v>4.1411588620125679</v>
      </c>
    </row>
    <row r="82" spans="1:7" x14ac:dyDescent="0.35">
      <c r="A82" s="17">
        <v>2024</v>
      </c>
      <c r="B82" s="18">
        <f t="shared" ref="B82:B108" si="26">C82/1000</f>
        <v>3948.283383508408</v>
      </c>
      <c r="C82" s="18">
        <f t="shared" ref="C82:C107" si="27">D82*E82</f>
        <v>3948283.383508408</v>
      </c>
      <c r="D82" s="13">
        <v>1374687</v>
      </c>
      <c r="E82" s="46">
        <v>2.87213262619666</v>
      </c>
      <c r="F82" s="32">
        <f>E81*(1+F81)</f>
        <v>2.6831100372601364</v>
      </c>
    </row>
    <row r="83" spans="1:7" x14ac:dyDescent="0.35">
      <c r="A83" s="17">
        <v>2025</v>
      </c>
      <c r="B83" s="18">
        <f t="shared" si="26"/>
        <v>3934.8073372262929</v>
      </c>
      <c r="C83" s="18">
        <f t="shared" si="27"/>
        <v>3934807.337226293</v>
      </c>
      <c r="D83" s="13">
        <v>1369995</v>
      </c>
      <c r="E83" s="46">
        <v>2.87213262619666</v>
      </c>
      <c r="F83" s="32">
        <f t="shared" ref="F83:F109" si="28">F82*(1+F$81)</f>
        <v>2.5065275211818001</v>
      </c>
    </row>
    <row r="84" spans="1:7" x14ac:dyDescent="0.35">
      <c r="A84" s="17">
        <v>2026</v>
      </c>
      <c r="B84" s="18">
        <f t="shared" si="26"/>
        <v>3914.5846514052428</v>
      </c>
      <c r="C84" s="18">
        <f t="shared" si="27"/>
        <v>3914584.6514052427</v>
      </c>
      <c r="D84" s="13">
        <v>1362954</v>
      </c>
      <c r="E84" s="46">
        <v>2.87213262619666</v>
      </c>
      <c r="F84" s="32">
        <f t="shared" si="28"/>
        <v>2.341566364105347</v>
      </c>
    </row>
    <row r="85" spans="1:7" x14ac:dyDescent="0.35">
      <c r="A85" s="17">
        <v>2027</v>
      </c>
      <c r="B85" s="18">
        <f t="shared" si="26"/>
        <v>3925.3178110293393</v>
      </c>
      <c r="C85" s="18">
        <f t="shared" si="27"/>
        <v>3925317.8110293392</v>
      </c>
      <c r="D85" s="13">
        <v>1366691</v>
      </c>
      <c r="E85" s="46">
        <v>2.87213262619666</v>
      </c>
      <c r="F85" s="32">
        <f t="shared" si="28"/>
        <v>2.1874617338828948</v>
      </c>
    </row>
    <row r="86" spans="1:7" x14ac:dyDescent="0.35">
      <c r="A86" s="17">
        <v>2028</v>
      </c>
      <c r="B86" s="18">
        <f t="shared" si="26"/>
        <v>3913.8493854529365</v>
      </c>
      <c r="C86" s="18">
        <f t="shared" si="27"/>
        <v>3913849.3854529364</v>
      </c>
      <c r="D86" s="13">
        <v>1362698</v>
      </c>
      <c r="E86" s="46">
        <v>2.87213262619666</v>
      </c>
      <c r="F86" s="32">
        <f t="shared" si="28"/>
        <v>2.0434991339782855</v>
      </c>
    </row>
    <row r="87" spans="1:7" x14ac:dyDescent="0.35">
      <c r="A87" s="17">
        <v>2029</v>
      </c>
      <c r="B87" s="18">
        <f t="shared" si="26"/>
        <v>3902.7428485874339</v>
      </c>
      <c r="C87" s="18">
        <f t="shared" si="27"/>
        <v>3902742.8485874338</v>
      </c>
      <c r="D87" s="13">
        <v>1358831</v>
      </c>
      <c r="E87" s="46">
        <v>2.87213262619666</v>
      </c>
      <c r="F87" s="32">
        <f t="shared" si="28"/>
        <v>1.9090110907483233</v>
      </c>
    </row>
    <row r="88" spans="1:7" x14ac:dyDescent="0.35">
      <c r="A88" s="17">
        <v>2030</v>
      </c>
      <c r="B88" s="18">
        <f t="shared" si="26"/>
        <v>3893.1413092180583</v>
      </c>
      <c r="C88" s="18">
        <f t="shared" si="27"/>
        <v>3893141.3092180584</v>
      </c>
      <c r="D88" s="13">
        <v>1355488</v>
      </c>
      <c r="E88" s="46">
        <v>2.87213262619666</v>
      </c>
      <c r="F88" s="32">
        <f t="shared" si="28"/>
        <v>1.7833740587427271</v>
      </c>
    </row>
    <row r="89" spans="1:7" x14ac:dyDescent="0.35">
      <c r="A89" s="17">
        <v>2031</v>
      </c>
      <c r="B89" s="18">
        <f t="shared" si="26"/>
        <v>3884.3927932386632</v>
      </c>
      <c r="C89" s="18">
        <f t="shared" si="27"/>
        <v>3884392.7932386631</v>
      </c>
      <c r="D89" s="13">
        <v>1352442</v>
      </c>
      <c r="E89" s="46">
        <v>2.87213262619666</v>
      </c>
      <c r="F89" s="32">
        <f t="shared" si="28"/>
        <v>1.6660055296744227</v>
      </c>
    </row>
    <row r="90" spans="1:7" x14ac:dyDescent="0.35">
      <c r="A90" s="17">
        <v>2032</v>
      </c>
      <c r="B90" s="18">
        <f t="shared" si="26"/>
        <v>3876.2617857739006</v>
      </c>
      <c r="C90" s="18">
        <f t="shared" si="27"/>
        <v>3876261.7857739003</v>
      </c>
      <c r="D90" s="13">
        <v>1349611</v>
      </c>
      <c r="E90" s="46">
        <v>2.87213262619666</v>
      </c>
      <c r="F90" s="32">
        <f t="shared" si="28"/>
        <v>1.5563613316560883</v>
      </c>
    </row>
    <row r="91" spans="1:7" x14ac:dyDescent="0.35">
      <c r="A91" s="17">
        <v>2033</v>
      </c>
      <c r="B91" s="18">
        <f t="shared" si="26"/>
        <v>3868.7540310890222</v>
      </c>
      <c r="C91" s="18">
        <f t="shared" si="27"/>
        <v>3868754.0310890223</v>
      </c>
      <c r="D91" s="13">
        <v>1346997</v>
      </c>
      <c r="E91" s="46">
        <v>2.87213262619666</v>
      </c>
      <c r="F91" s="32">
        <f t="shared" si="28"/>
        <v>1.4539331061810341</v>
      </c>
    </row>
    <row r="92" spans="1:7" x14ac:dyDescent="0.35">
      <c r="A92" s="17">
        <v>2034</v>
      </c>
      <c r="B92" s="18">
        <f t="shared" si="26"/>
        <v>3861.9499488975625</v>
      </c>
      <c r="C92" s="18">
        <f t="shared" si="27"/>
        <v>3861949.9488975625</v>
      </c>
      <c r="D92" s="13">
        <v>1344628</v>
      </c>
      <c r="E92" s="46">
        <v>2.87213262619666</v>
      </c>
      <c r="F92" s="32">
        <f t="shared" si="28"/>
        <v>1.3582459511505951</v>
      </c>
    </row>
    <row r="93" spans="1:7" x14ac:dyDescent="0.35">
      <c r="A93" s="17">
        <v>2035</v>
      </c>
      <c r="B93" s="18">
        <f t="shared" si="26"/>
        <v>3855.9385753109327</v>
      </c>
      <c r="C93" s="18">
        <f t="shared" si="27"/>
        <v>3855938.5753109329</v>
      </c>
      <c r="D93" s="13">
        <v>1342535</v>
      </c>
      <c r="E93" s="46">
        <v>2.87213262619666</v>
      </c>
      <c r="F93" s="32">
        <f t="shared" si="28"/>
        <v>1.2688562190200781</v>
      </c>
    </row>
    <row r="94" spans="1:7" x14ac:dyDescent="0.35">
      <c r="A94" s="17">
        <v>2036</v>
      </c>
      <c r="B94" s="18">
        <f t="shared" si="26"/>
        <v>3851.3316745785137</v>
      </c>
      <c r="C94" s="18">
        <f t="shared" si="27"/>
        <v>3851331.6745785135</v>
      </c>
      <c r="D94" s="13">
        <v>1340931</v>
      </c>
      <c r="E94" s="46">
        <v>2.87213262619666</v>
      </c>
      <c r="F94" s="32">
        <f t="shared" si="28"/>
        <v>1.1853494598545065</v>
      </c>
    </row>
    <row r="95" spans="1:7" x14ac:dyDescent="0.35">
      <c r="A95" s="17">
        <v>2037</v>
      </c>
      <c r="B95" s="18">
        <f t="shared" si="26"/>
        <v>3846.8597640795251</v>
      </c>
      <c r="C95" s="18">
        <f t="shared" si="27"/>
        <v>3846859.7640795251</v>
      </c>
      <c r="D95" s="13">
        <v>1339374</v>
      </c>
      <c r="E95" s="46">
        <v>2.87213262619666</v>
      </c>
      <c r="F95" s="32">
        <f t="shared" si="28"/>
        <v>1.1073384997572662</v>
      </c>
    </row>
    <row r="96" spans="1:7" x14ac:dyDescent="0.35">
      <c r="A96" s="17">
        <v>2038</v>
      </c>
      <c r="B96" s="18">
        <f t="shared" si="26"/>
        <v>3842.588902864371</v>
      </c>
      <c r="C96" s="18">
        <f t="shared" si="27"/>
        <v>3842588.902864371</v>
      </c>
      <c r="D96" s="13">
        <v>1337887</v>
      </c>
      <c r="E96" s="46">
        <v>2.87213262619666</v>
      </c>
      <c r="F96" s="32">
        <f t="shared" si="28"/>
        <v>1.034461645762407</v>
      </c>
    </row>
    <row r="97" spans="1:6" x14ac:dyDescent="0.35">
      <c r="A97" s="17">
        <v>2039</v>
      </c>
      <c r="B97" s="18">
        <f t="shared" si="26"/>
        <v>3838.4760089436572</v>
      </c>
      <c r="C97" s="18">
        <f t="shared" si="27"/>
        <v>3838476.0089436574</v>
      </c>
      <c r="D97" s="13">
        <v>1336455</v>
      </c>
      <c r="E97" s="46">
        <v>2.87213262619666</v>
      </c>
      <c r="F97" s="32">
        <f t="shared" si="28"/>
        <v>0.96638100886769573</v>
      </c>
    </row>
    <row r="98" spans="1:6" x14ac:dyDescent="0.35">
      <c r="A98" s="17">
        <v>2040</v>
      </c>
      <c r="B98" s="18">
        <f t="shared" si="26"/>
        <v>3834.4578953996083</v>
      </c>
      <c r="C98" s="18">
        <f t="shared" si="27"/>
        <v>3834457.8953996082</v>
      </c>
      <c r="D98" s="13">
        <v>1335056</v>
      </c>
      <c r="E98" s="46">
        <v>2.87213262619666</v>
      </c>
      <c r="F98" s="32">
        <f t="shared" si="28"/>
        <v>0.90278093743326648</v>
      </c>
    </row>
    <row r="99" spans="1:6" x14ac:dyDescent="0.35">
      <c r="A99" s="17">
        <v>2041</v>
      </c>
      <c r="B99" s="18">
        <f t="shared" si="26"/>
        <v>3830.4886081102045</v>
      </c>
      <c r="C99" s="18">
        <f t="shared" si="27"/>
        <v>3830488.6081102043</v>
      </c>
      <c r="D99" s="13">
        <v>1333674</v>
      </c>
      <c r="E99" s="46">
        <v>2.87213262619666</v>
      </c>
      <c r="F99" s="32">
        <f t="shared" si="28"/>
        <v>0.84336655368241864</v>
      </c>
    </row>
    <row r="100" spans="1:6" x14ac:dyDescent="0.35">
      <c r="A100" s="17">
        <v>2042</v>
      </c>
      <c r="B100" s="18">
        <f t="shared" si="26"/>
        <v>3826.4389011072672</v>
      </c>
      <c r="C100" s="18">
        <f t="shared" si="27"/>
        <v>3826438.901107267</v>
      </c>
      <c r="D100" s="13">
        <v>1332264</v>
      </c>
      <c r="E100" s="46">
        <v>2.87213262619666</v>
      </c>
      <c r="F100" s="32">
        <f t="shared" si="28"/>
        <v>0.7878623865191402</v>
      </c>
    </row>
    <row r="101" spans="1:6" x14ac:dyDescent="0.35">
      <c r="A101" s="17">
        <v>2043</v>
      </c>
      <c r="B101" s="18">
        <f t="shared" si="26"/>
        <v>3822.262820268777</v>
      </c>
      <c r="C101" s="18">
        <f t="shared" si="27"/>
        <v>3822262.8202687772</v>
      </c>
      <c r="D101" s="13">
        <v>1330810</v>
      </c>
      <c r="E101" s="46">
        <v>2.87213262619666</v>
      </c>
      <c r="F101" s="32">
        <f t="shared" si="28"/>
        <v>0.7360110943234992</v>
      </c>
    </row>
    <row r="102" spans="1:6" x14ac:dyDescent="0.35">
      <c r="A102" s="17">
        <v>2044</v>
      </c>
      <c r="B102" s="18">
        <f t="shared" si="26"/>
        <v>3817.8742016159486</v>
      </c>
      <c r="C102" s="18">
        <f t="shared" si="27"/>
        <v>3817874.2016159487</v>
      </c>
      <c r="D102" s="13">
        <v>1329282</v>
      </c>
      <c r="E102" s="46">
        <v>2.87213262619666</v>
      </c>
      <c r="F102" s="32">
        <f t="shared" si="28"/>
        <v>0.68757227180322378</v>
      </c>
    </row>
    <row r="103" spans="1:6" x14ac:dyDescent="0.35">
      <c r="A103" s="17">
        <v>2045</v>
      </c>
      <c r="B103" s="18">
        <f t="shared" si="26"/>
        <v>3813.2787894140338</v>
      </c>
      <c r="C103" s="18">
        <f t="shared" si="27"/>
        <v>3813278.7894140338</v>
      </c>
      <c r="D103" s="13">
        <v>1327682</v>
      </c>
      <c r="E103" s="46">
        <v>2.87213262619666</v>
      </c>
      <c r="F103" s="32">
        <f t="shared" si="28"/>
        <v>0.64232133536951252</v>
      </c>
    </row>
    <row r="104" spans="1:6" x14ac:dyDescent="0.35">
      <c r="A104" s="17">
        <v>2046</v>
      </c>
      <c r="B104" s="18">
        <f t="shared" si="26"/>
        <v>3808.4248852757614</v>
      </c>
      <c r="C104" s="18">
        <f t="shared" si="27"/>
        <v>3808424.8852757616</v>
      </c>
      <c r="D104" s="13">
        <v>1325992</v>
      </c>
      <c r="E104" s="46">
        <v>2.87213262619666</v>
      </c>
      <c r="F104" s="32">
        <f t="shared" si="28"/>
        <v>0.60004848186918902</v>
      </c>
    </row>
    <row r="105" spans="1:6" x14ac:dyDescent="0.35">
      <c r="A105" s="17">
        <v>2047</v>
      </c>
      <c r="B105" s="18">
        <f t="shared" si="26"/>
        <v>3803.2780236096173</v>
      </c>
      <c r="C105" s="18">
        <f t="shared" si="27"/>
        <v>3803278.0236096173</v>
      </c>
      <c r="D105" s="13">
        <v>1324200</v>
      </c>
      <c r="E105" s="46">
        <v>2.87213262619666</v>
      </c>
      <c r="F105" s="32">
        <f t="shared" si="28"/>
        <v>0.56055771584542702</v>
      </c>
    </row>
    <row r="106" spans="1:6" x14ac:dyDescent="0.35">
      <c r="A106" s="17">
        <v>2048</v>
      </c>
      <c r="B106" s="18">
        <f t="shared" si="26"/>
        <v>3797.8180994872173</v>
      </c>
      <c r="C106" s="18">
        <f t="shared" si="27"/>
        <v>3797818.0994872171</v>
      </c>
      <c r="D106" s="13">
        <v>1322299</v>
      </c>
      <c r="E106" s="46">
        <v>2.87213262619666</v>
      </c>
      <c r="F106" s="32">
        <f t="shared" si="28"/>
        <v>0.5236659408170018</v>
      </c>
    </row>
    <row r="107" spans="1:6" x14ac:dyDescent="0.35">
      <c r="A107" s="17">
        <v>2049</v>
      </c>
      <c r="B107" s="18">
        <f t="shared" si="26"/>
        <v>3791.9876702560382</v>
      </c>
      <c r="C107" s="18">
        <f t="shared" si="27"/>
        <v>3791987.6702560382</v>
      </c>
      <c r="D107" s="13">
        <v>1320269</v>
      </c>
      <c r="E107" s="46">
        <v>2.87213262619666</v>
      </c>
      <c r="F107" s="32">
        <f t="shared" si="28"/>
        <v>0.48920211036283917</v>
      </c>
    </row>
    <row r="108" spans="1:6" x14ac:dyDescent="0.35">
      <c r="A108" s="17">
        <v>2050</v>
      </c>
      <c r="B108" s="18">
        <f t="shared" si="26"/>
        <v>3785.720676865677</v>
      </c>
      <c r="C108" s="18">
        <f>D108*E109</f>
        <v>3785720.6768656769</v>
      </c>
      <c r="D108" s="13">
        <v>1318087</v>
      </c>
      <c r="E108" s="46">
        <v>2.87213262619666</v>
      </c>
      <c r="F108" s="32">
        <f t="shared" si="28"/>
        <v>0.45700643507591959</v>
      </c>
    </row>
    <row r="109" spans="1:6" x14ac:dyDescent="0.35">
      <c r="C109" s="38"/>
      <c r="D109" s="38"/>
      <c r="E109" s="46">
        <v>2.87213262619666</v>
      </c>
      <c r="F109" s="32">
        <f t="shared" si="28"/>
        <v>0.42692964170962777</v>
      </c>
    </row>
    <row r="110" spans="1:6" ht="32" customHeight="1" x14ac:dyDescent="0.35">
      <c r="A110" s="11" t="s">
        <v>134</v>
      </c>
      <c r="B110" s="11" t="s">
        <v>135</v>
      </c>
      <c r="C110" s="11" t="s">
        <v>131</v>
      </c>
      <c r="D110" s="11" t="s">
        <v>132</v>
      </c>
      <c r="E110" s="11" t="s">
        <v>129</v>
      </c>
    </row>
    <row r="111" spans="1:6" x14ac:dyDescent="0.35">
      <c r="A111" s="17">
        <v>2000</v>
      </c>
      <c r="B111" s="34">
        <v>14133</v>
      </c>
      <c r="C111" s="18">
        <f t="shared" ref="C111:C134" si="29">B111*1000</f>
        <v>14133000</v>
      </c>
      <c r="D111" s="13">
        <v>1401250</v>
      </c>
      <c r="E111" s="45">
        <f t="shared" ref="E111:E134" si="30">C111/D111</f>
        <v>10.085994647636038</v>
      </c>
    </row>
    <row r="112" spans="1:6" x14ac:dyDescent="0.35">
      <c r="A112" s="17">
        <v>2001</v>
      </c>
      <c r="B112" s="34">
        <v>14462</v>
      </c>
      <c r="C112" s="18">
        <f t="shared" si="29"/>
        <v>14462000</v>
      </c>
      <c r="D112" s="13">
        <v>1392720</v>
      </c>
      <c r="E112" s="45">
        <f t="shared" si="30"/>
        <v>10.38399678327302</v>
      </c>
    </row>
    <row r="113" spans="1:5" x14ac:dyDescent="0.35">
      <c r="A113" s="17">
        <v>2002</v>
      </c>
      <c r="B113" s="34">
        <v>14135</v>
      </c>
      <c r="C113" s="18">
        <f t="shared" si="29"/>
        <v>14135000</v>
      </c>
      <c r="D113" s="13">
        <v>1383510</v>
      </c>
      <c r="E113" s="45">
        <f t="shared" si="30"/>
        <v>10.216767497163014</v>
      </c>
    </row>
    <row r="114" spans="1:5" x14ac:dyDescent="0.35">
      <c r="A114" s="17">
        <v>2003</v>
      </c>
      <c r="B114" s="34">
        <v>14689</v>
      </c>
      <c r="C114" s="18">
        <f t="shared" si="29"/>
        <v>14689000</v>
      </c>
      <c r="D114" s="13">
        <v>1375190</v>
      </c>
      <c r="E114" s="45">
        <f t="shared" si="30"/>
        <v>10.681433111061017</v>
      </c>
    </row>
    <row r="115" spans="1:5" x14ac:dyDescent="0.35">
      <c r="A115" s="17">
        <v>2004</v>
      </c>
      <c r="B115" s="34">
        <v>15152</v>
      </c>
      <c r="C115" s="18">
        <f t="shared" si="29"/>
        <v>15152000</v>
      </c>
      <c r="D115" s="13">
        <v>1366250</v>
      </c>
      <c r="E115" s="45">
        <f t="shared" si="30"/>
        <v>11.090210430009149</v>
      </c>
    </row>
    <row r="116" spans="1:5" x14ac:dyDescent="0.35">
      <c r="A116" s="17">
        <v>2005</v>
      </c>
      <c r="B116" s="34">
        <v>14866</v>
      </c>
      <c r="C116" s="18">
        <f t="shared" si="29"/>
        <v>14866000</v>
      </c>
      <c r="D116" s="13">
        <v>1358850</v>
      </c>
      <c r="E116" s="45">
        <f t="shared" si="30"/>
        <v>10.940133200868381</v>
      </c>
    </row>
    <row r="117" spans="1:5" x14ac:dyDescent="0.35">
      <c r="A117" s="17">
        <v>2006</v>
      </c>
      <c r="B117" s="34">
        <v>14869</v>
      </c>
      <c r="C117" s="18">
        <f t="shared" si="29"/>
        <v>14869000</v>
      </c>
      <c r="D117" s="13">
        <v>1350700</v>
      </c>
      <c r="E117" s="45">
        <f t="shared" si="30"/>
        <v>11.008366032427631</v>
      </c>
    </row>
    <row r="118" spans="1:5" x14ac:dyDescent="0.35">
      <c r="A118" s="17">
        <v>2007</v>
      </c>
      <c r="B118" s="34">
        <v>15950</v>
      </c>
      <c r="C118" s="18">
        <f t="shared" si="29"/>
        <v>15950000</v>
      </c>
      <c r="D118" s="13">
        <v>1342920</v>
      </c>
      <c r="E118" s="45">
        <f t="shared" si="30"/>
        <v>11.877103624936705</v>
      </c>
    </row>
    <row r="119" spans="1:5" x14ac:dyDescent="0.35">
      <c r="A119" s="17">
        <v>2008</v>
      </c>
      <c r="B119" s="34">
        <v>16111</v>
      </c>
      <c r="C119" s="18">
        <f t="shared" si="29"/>
        <v>16111000</v>
      </c>
      <c r="D119" s="13">
        <v>1338440</v>
      </c>
      <c r="E119" s="45">
        <f t="shared" si="30"/>
        <v>12.037147724216252</v>
      </c>
    </row>
    <row r="120" spans="1:5" x14ac:dyDescent="0.35">
      <c r="A120" s="17">
        <v>2009</v>
      </c>
      <c r="B120" s="34">
        <v>16153</v>
      </c>
      <c r="C120" s="18">
        <f t="shared" si="29"/>
        <v>16153000</v>
      </c>
      <c r="D120" s="13">
        <v>1335740</v>
      </c>
      <c r="E120" s="45">
        <f t="shared" si="30"/>
        <v>12.092922275293096</v>
      </c>
    </row>
    <row r="121" spans="1:5" x14ac:dyDescent="0.35">
      <c r="A121" s="17">
        <v>2010</v>
      </c>
      <c r="B121" s="34">
        <v>16879</v>
      </c>
      <c r="C121" s="18">
        <f t="shared" si="29"/>
        <v>16879000</v>
      </c>
      <c r="D121" s="13">
        <v>1333290</v>
      </c>
      <c r="E121" s="45">
        <f t="shared" si="30"/>
        <v>12.659661438996768</v>
      </c>
    </row>
    <row r="122" spans="1:5" x14ac:dyDescent="0.35">
      <c r="A122" s="17">
        <v>2011</v>
      </c>
      <c r="B122" s="34">
        <v>15558</v>
      </c>
      <c r="C122" s="18">
        <f t="shared" si="29"/>
        <v>15558000</v>
      </c>
      <c r="D122" s="13">
        <v>1329660</v>
      </c>
      <c r="E122" s="45">
        <f t="shared" si="30"/>
        <v>11.700735526375164</v>
      </c>
    </row>
    <row r="123" spans="1:5" x14ac:dyDescent="0.35">
      <c r="A123" s="17">
        <v>2012</v>
      </c>
      <c r="B123" s="34">
        <v>16220</v>
      </c>
      <c r="C123" s="18">
        <f t="shared" si="29"/>
        <v>16220000</v>
      </c>
      <c r="D123" s="13">
        <v>1325217</v>
      </c>
      <c r="E123" s="45">
        <f t="shared" si="30"/>
        <v>12.239504926363002</v>
      </c>
    </row>
    <row r="124" spans="1:5" x14ac:dyDescent="0.35">
      <c r="A124" s="17">
        <v>2013</v>
      </c>
      <c r="B124" s="34">
        <v>15720</v>
      </c>
      <c r="C124" s="18">
        <f t="shared" si="29"/>
        <v>15720000</v>
      </c>
      <c r="D124" s="13">
        <v>1320174</v>
      </c>
      <c r="E124" s="45">
        <f t="shared" si="30"/>
        <v>11.907521281285648</v>
      </c>
    </row>
    <row r="125" spans="1:5" x14ac:dyDescent="0.35">
      <c r="A125" s="17">
        <v>2014</v>
      </c>
      <c r="B125" s="34">
        <v>15653</v>
      </c>
      <c r="C125" s="18">
        <f t="shared" si="29"/>
        <v>15653000</v>
      </c>
      <c r="D125" s="13">
        <v>1315819</v>
      </c>
      <c r="E125" s="45">
        <f t="shared" si="30"/>
        <v>11.89601305346708</v>
      </c>
    </row>
    <row r="126" spans="1:5" x14ac:dyDescent="0.35">
      <c r="A126" s="17">
        <v>2015</v>
      </c>
      <c r="B126" s="34">
        <v>15387</v>
      </c>
      <c r="C126" s="18">
        <f t="shared" si="29"/>
        <v>15387000</v>
      </c>
      <c r="D126" s="13">
        <v>1313271</v>
      </c>
      <c r="E126" s="45">
        <f t="shared" si="30"/>
        <v>11.716545937586378</v>
      </c>
    </row>
    <row r="127" spans="1:5" x14ac:dyDescent="0.35">
      <c r="A127" s="17">
        <v>2016</v>
      </c>
      <c r="B127" s="34">
        <v>16619</v>
      </c>
      <c r="C127" s="18">
        <f t="shared" si="29"/>
        <v>16619000</v>
      </c>
      <c r="D127" s="13">
        <v>1315944</v>
      </c>
      <c r="E127" s="45">
        <f t="shared" si="30"/>
        <v>12.628956855306912</v>
      </c>
    </row>
    <row r="128" spans="1:5" x14ac:dyDescent="0.35">
      <c r="A128" s="17">
        <v>2017</v>
      </c>
      <c r="B128" s="34">
        <v>16415</v>
      </c>
      <c r="C128" s="18">
        <f t="shared" si="29"/>
        <v>16415000</v>
      </c>
      <c r="D128" s="13">
        <v>1315635</v>
      </c>
      <c r="E128" s="45">
        <f t="shared" si="30"/>
        <v>12.476864783925633</v>
      </c>
    </row>
    <row r="129" spans="1:7" x14ac:dyDescent="0.35">
      <c r="A129" s="17">
        <v>2018</v>
      </c>
      <c r="B129" s="34">
        <v>16649</v>
      </c>
      <c r="C129" s="18">
        <f t="shared" si="29"/>
        <v>16649000</v>
      </c>
      <c r="D129" s="13">
        <v>1319133</v>
      </c>
      <c r="E129" s="45">
        <f t="shared" si="30"/>
        <v>12.621168600891647</v>
      </c>
    </row>
    <row r="130" spans="1:7" x14ac:dyDescent="0.35">
      <c r="A130" s="17">
        <v>2019</v>
      </c>
      <c r="B130" s="34">
        <v>16441</v>
      </c>
      <c r="C130" s="18">
        <f t="shared" si="29"/>
        <v>16441000</v>
      </c>
      <c r="D130" s="13">
        <v>1324820</v>
      </c>
      <c r="E130" s="45">
        <f t="shared" si="30"/>
        <v>12.409987771923733</v>
      </c>
    </row>
    <row r="131" spans="1:7" x14ac:dyDescent="0.35">
      <c r="A131" s="17">
        <v>2020</v>
      </c>
      <c r="B131" s="34">
        <v>16423</v>
      </c>
      <c r="C131" s="18">
        <f t="shared" si="29"/>
        <v>16423000</v>
      </c>
      <c r="D131" s="13">
        <v>1328889</v>
      </c>
      <c r="E131" s="45">
        <f t="shared" si="30"/>
        <v>12.358443782738814</v>
      </c>
      <c r="G131" s="9" t="s">
        <v>136</v>
      </c>
    </row>
    <row r="132" spans="1:7" x14ac:dyDescent="0.35">
      <c r="A132" s="17">
        <v>2021</v>
      </c>
      <c r="B132" s="34">
        <v>17179</v>
      </c>
      <c r="C132" s="18">
        <f t="shared" si="29"/>
        <v>17179000</v>
      </c>
      <c r="D132" s="13">
        <v>1330068</v>
      </c>
      <c r="E132" s="45">
        <f t="shared" si="30"/>
        <v>12.915880992550758</v>
      </c>
    </row>
    <row r="133" spans="1:7" x14ac:dyDescent="0.35">
      <c r="A133" s="17">
        <v>2022</v>
      </c>
      <c r="B133" s="34">
        <v>16514</v>
      </c>
      <c r="C133" s="18">
        <f t="shared" si="29"/>
        <v>16514000</v>
      </c>
      <c r="D133" s="13">
        <v>1331796</v>
      </c>
      <c r="E133" s="45">
        <f t="shared" si="30"/>
        <v>12.399796965901684</v>
      </c>
    </row>
    <row r="134" spans="1:7" x14ac:dyDescent="0.35">
      <c r="A134" s="17">
        <v>2023</v>
      </c>
      <c r="B134" s="34">
        <v>15085</v>
      </c>
      <c r="C134" s="18">
        <f t="shared" si="29"/>
        <v>15085000</v>
      </c>
      <c r="D134" s="13">
        <v>1365884</v>
      </c>
      <c r="E134" s="45">
        <f t="shared" si="30"/>
        <v>11.04412966254821</v>
      </c>
      <c r="F134" s="45">
        <f>(E133/E124)^(1/10)-1</f>
        <v>4.0592021190317684E-3</v>
      </c>
    </row>
    <row r="135" spans="1:7" x14ac:dyDescent="0.35">
      <c r="A135" s="17">
        <v>2024</v>
      </c>
      <c r="B135" s="18">
        <f t="shared" ref="B135:B161" si="31">C135/1000</f>
        <v>15243.849178995924</v>
      </c>
      <c r="C135" s="18">
        <f t="shared" ref="C135:C160" si="32">D135*E135</f>
        <v>15243849.178995924</v>
      </c>
      <c r="D135" s="13">
        <v>1374687</v>
      </c>
      <c r="E135" s="45">
        <f t="shared" ref="E135:E162" si="33">F135</f>
        <v>11.088960017077287</v>
      </c>
      <c r="F135" s="45">
        <f>E134*(1+F134)</f>
        <v>11.088960017077287</v>
      </c>
    </row>
    <row r="136" spans="1:7" x14ac:dyDescent="0.35">
      <c r="A136" s="17">
        <v>2025</v>
      </c>
      <c r="B136" s="18">
        <f t="shared" si="31"/>
        <v>15253.486445633022</v>
      </c>
      <c r="C136" s="18">
        <f t="shared" si="32"/>
        <v>15253486.445633022</v>
      </c>
      <c r="D136" s="13">
        <v>1369995</v>
      </c>
      <c r="E136" s="45">
        <f t="shared" si="33"/>
        <v>11.133972347076465</v>
      </c>
      <c r="F136" s="45">
        <f t="shared" ref="F136:F162" si="34">F135*(1+$F$134)</f>
        <v>11.133972347076465</v>
      </c>
    </row>
    <row r="137" spans="1:7" x14ac:dyDescent="0.35">
      <c r="A137" s="17">
        <v>2026</v>
      </c>
      <c r="B137" s="18">
        <f t="shared" si="31"/>
        <v>15236.690912534172</v>
      </c>
      <c r="C137" s="18">
        <f t="shared" si="32"/>
        <v>15236690.912534172</v>
      </c>
      <c r="D137" s="13">
        <v>1362954</v>
      </c>
      <c r="E137" s="45">
        <f t="shared" si="33"/>
        <v>11.179167391220959</v>
      </c>
      <c r="F137" s="45">
        <f t="shared" si="34"/>
        <v>11.179167391220959</v>
      </c>
    </row>
    <row r="138" spans="1:7" x14ac:dyDescent="0.35">
      <c r="A138" s="17">
        <v>2027</v>
      </c>
      <c r="B138" s="18">
        <f t="shared" si="31"/>
        <v>15340.485848568718</v>
      </c>
      <c r="C138" s="18">
        <f t="shared" si="32"/>
        <v>15340485.848568719</v>
      </c>
      <c r="D138" s="13">
        <v>1366691</v>
      </c>
      <c r="E138" s="45">
        <f t="shared" si="33"/>
        <v>11.224545891184414</v>
      </c>
      <c r="F138" s="45">
        <f t="shared" si="34"/>
        <v>11.224545891184414</v>
      </c>
    </row>
    <row r="139" spans="1:7" x14ac:dyDescent="0.35">
      <c r="A139" s="17">
        <v>2028</v>
      </c>
      <c r="B139" s="18">
        <f t="shared" si="31"/>
        <v>15357.754437625741</v>
      </c>
      <c r="C139" s="18">
        <f t="shared" si="32"/>
        <v>15357754.437625742</v>
      </c>
      <c r="D139" s="13">
        <v>1362698</v>
      </c>
      <c r="E139" s="45">
        <f t="shared" si="33"/>
        <v>11.270108591651079</v>
      </c>
      <c r="F139" s="45">
        <f t="shared" si="34"/>
        <v>11.270108591651079</v>
      </c>
    </row>
    <row r="140" spans="1:7" x14ac:dyDescent="0.35">
      <c r="A140" s="17">
        <v>2029</v>
      </c>
      <c r="B140" s="18">
        <f t="shared" si="31"/>
        <v>15376.336250901173</v>
      </c>
      <c r="C140" s="18">
        <f t="shared" si="32"/>
        <v>15376336.250901174</v>
      </c>
      <c r="D140" s="13">
        <v>1358831</v>
      </c>
      <c r="E140" s="45">
        <f t="shared" si="33"/>
        <v>11.315856240328028</v>
      </c>
      <c r="F140" s="45">
        <f t="shared" si="34"/>
        <v>11.315856240328028</v>
      </c>
    </row>
    <row r="141" spans="1:7" x14ac:dyDescent="0.35">
      <c r="A141" s="17">
        <v>2030</v>
      </c>
      <c r="B141" s="18">
        <f t="shared" si="31"/>
        <v>15400.769445001237</v>
      </c>
      <c r="C141" s="18">
        <f t="shared" si="32"/>
        <v>15400769.445001237</v>
      </c>
      <c r="D141" s="13">
        <v>1355488</v>
      </c>
      <c r="E141" s="45">
        <f t="shared" si="33"/>
        <v>11.361789587957427</v>
      </c>
      <c r="F141" s="45">
        <f t="shared" si="34"/>
        <v>11.361789587957427</v>
      </c>
    </row>
    <row r="142" spans="1:7" x14ac:dyDescent="0.35">
      <c r="A142" s="17">
        <v>2031</v>
      </c>
      <c r="B142" s="18">
        <f t="shared" si="31"/>
        <v>15428.535788970255</v>
      </c>
      <c r="C142" s="18">
        <f t="shared" si="32"/>
        <v>15428535.788970256</v>
      </c>
      <c r="D142" s="13">
        <v>1352442</v>
      </c>
      <c r="E142" s="45">
        <f t="shared" si="33"/>
        <v>11.407909388328857</v>
      </c>
      <c r="F142" s="45">
        <f t="shared" si="34"/>
        <v>11.407909388328857</v>
      </c>
    </row>
    <row r="143" spans="1:7" x14ac:dyDescent="0.35">
      <c r="A143" s="17">
        <v>2032</v>
      </c>
      <c r="B143" s="18">
        <f t="shared" si="31"/>
        <v>15458.736447514839</v>
      </c>
      <c r="C143" s="18">
        <f t="shared" si="32"/>
        <v>15458736.447514839</v>
      </c>
      <c r="D143" s="13">
        <v>1349611</v>
      </c>
      <c r="E143" s="45">
        <f t="shared" si="33"/>
        <v>11.454216398291685</v>
      </c>
      <c r="F143" s="45">
        <f t="shared" si="34"/>
        <v>11.454216398291685</v>
      </c>
    </row>
    <row r="144" spans="1:7" x14ac:dyDescent="0.35">
      <c r="A144" s="17">
        <v>2033</v>
      </c>
      <c r="B144" s="18">
        <f t="shared" si="31"/>
        <v>15491.423723718661</v>
      </c>
      <c r="C144" s="18">
        <f t="shared" si="32"/>
        <v>15491423.72371866</v>
      </c>
      <c r="D144" s="13">
        <v>1346997</v>
      </c>
      <c r="E144" s="45">
        <f t="shared" si="33"/>
        <v>11.500711377767479</v>
      </c>
      <c r="F144" s="45">
        <f t="shared" si="34"/>
        <v>11.500711377767479</v>
      </c>
    </row>
    <row r="145" spans="1:6" x14ac:dyDescent="0.35">
      <c r="A145" s="17">
        <v>2034</v>
      </c>
      <c r="B145" s="18">
        <f t="shared" si="31"/>
        <v>15526.95076475715</v>
      </c>
      <c r="C145" s="18">
        <f t="shared" si="32"/>
        <v>15526950.764757151</v>
      </c>
      <c r="D145" s="13">
        <v>1344628</v>
      </c>
      <c r="E145" s="45">
        <f t="shared" si="33"/>
        <v>11.547395089762485</v>
      </c>
      <c r="F145" s="45">
        <f t="shared" si="34"/>
        <v>11.547395089762485</v>
      </c>
    </row>
    <row r="146" spans="1:6" x14ac:dyDescent="0.35">
      <c r="A146" s="17">
        <v>2035</v>
      </c>
      <c r="B146" s="18">
        <f t="shared" si="31"/>
        <v>15565.71099265086</v>
      </c>
      <c r="C146" s="18">
        <f t="shared" si="32"/>
        <v>15565710.992650861</v>
      </c>
      <c r="D146" s="13">
        <v>1342535</v>
      </c>
      <c r="E146" s="45">
        <f t="shared" si="33"/>
        <v>11.594268300380147</v>
      </c>
      <c r="F146" s="45">
        <f t="shared" si="34"/>
        <v>11.594268300380147</v>
      </c>
    </row>
    <row r="147" spans="1:6" x14ac:dyDescent="0.35">
      <c r="A147" s="17">
        <v>2036</v>
      </c>
      <c r="B147" s="18">
        <f t="shared" si="31"/>
        <v>15610.222663523216</v>
      </c>
      <c r="C147" s="18">
        <f t="shared" si="32"/>
        <v>15610222.663523216</v>
      </c>
      <c r="D147" s="13">
        <v>1340931</v>
      </c>
      <c r="E147" s="45">
        <f t="shared" si="33"/>
        <v>11.641331778833672</v>
      </c>
      <c r="F147" s="45">
        <f t="shared" si="34"/>
        <v>11.641331778833672</v>
      </c>
    </row>
    <row r="148" spans="1:6" x14ac:dyDescent="0.35">
      <c r="A148" s="17">
        <v>2037</v>
      </c>
      <c r="B148" s="18">
        <f t="shared" si="31"/>
        <v>15655.388583572405</v>
      </c>
      <c r="C148" s="18">
        <f t="shared" si="32"/>
        <v>15655388.583572404</v>
      </c>
      <c r="D148" s="13">
        <v>1339374</v>
      </c>
      <c r="E148" s="45">
        <f t="shared" si="33"/>
        <v>11.688586297458667</v>
      </c>
      <c r="F148" s="45">
        <f t="shared" si="34"/>
        <v>11.688586297458667</v>
      </c>
    </row>
    <row r="149" spans="1:6" x14ac:dyDescent="0.35">
      <c r="A149" s="17">
        <v>2038</v>
      </c>
      <c r="B149" s="18">
        <f t="shared" si="31"/>
        <v>15701.485489561732</v>
      </c>
      <c r="C149" s="18">
        <f t="shared" si="32"/>
        <v>15701485.489561731</v>
      </c>
      <c r="D149" s="13">
        <v>1337887</v>
      </c>
      <c r="E149" s="45">
        <f t="shared" si="33"/>
        <v>11.736032631725797</v>
      </c>
      <c r="F149" s="45">
        <f t="shared" si="34"/>
        <v>11.736032631725797</v>
      </c>
    </row>
    <row r="150" spans="1:6" x14ac:dyDescent="0.35">
      <c r="A150" s="17">
        <v>2039</v>
      </c>
      <c r="B150" s="18">
        <f t="shared" si="31"/>
        <v>15748.346775058624</v>
      </c>
      <c r="C150" s="18">
        <f t="shared" si="32"/>
        <v>15748346.775058623</v>
      </c>
      <c r="D150" s="13">
        <v>1336455</v>
      </c>
      <c r="E150" s="45">
        <f t="shared" si="33"/>
        <v>11.783671560253524</v>
      </c>
      <c r="F150" s="45">
        <f t="shared" si="34"/>
        <v>11.783671560253524</v>
      </c>
    </row>
    <row r="151" spans="1:6" x14ac:dyDescent="0.35">
      <c r="A151" s="17">
        <v>2040</v>
      </c>
      <c r="B151" s="18">
        <f t="shared" si="31"/>
        <v>15795.720223752305</v>
      </c>
      <c r="C151" s="18">
        <f t="shared" si="32"/>
        <v>15795720.223752305</v>
      </c>
      <c r="D151" s="13">
        <v>1335056</v>
      </c>
      <c r="E151" s="45">
        <f t="shared" si="33"/>
        <v>11.831503864820879</v>
      </c>
      <c r="F151" s="45">
        <f t="shared" si="34"/>
        <v>11.831503864820879</v>
      </c>
    </row>
    <row r="152" spans="1:6" x14ac:dyDescent="0.35">
      <c r="A152" s="17">
        <v>2041</v>
      </c>
      <c r="B152" s="18">
        <f t="shared" si="31"/>
        <v>15843.420733839606</v>
      </c>
      <c r="C152" s="18">
        <f t="shared" si="32"/>
        <v>15843420.733839607</v>
      </c>
      <c r="D152" s="13">
        <v>1333674</v>
      </c>
      <c r="E152" s="45">
        <f t="shared" si="33"/>
        <v>11.879530330380293</v>
      </c>
      <c r="F152" s="45">
        <f t="shared" si="34"/>
        <v>11.879530330380293</v>
      </c>
    </row>
    <row r="153" spans="1:6" x14ac:dyDescent="0.35">
      <c r="A153" s="17">
        <v>2042</v>
      </c>
      <c r="B153" s="18">
        <f t="shared" si="31"/>
        <v>15890.914250894573</v>
      </c>
      <c r="C153" s="18">
        <f t="shared" si="32"/>
        <v>15890914.250894573</v>
      </c>
      <c r="D153" s="13">
        <v>1332264</v>
      </c>
      <c r="E153" s="45">
        <f t="shared" si="33"/>
        <v>11.927751745070475</v>
      </c>
      <c r="F153" s="45">
        <f t="shared" si="34"/>
        <v>11.927751745070475</v>
      </c>
    </row>
    <row r="154" spans="1:6" x14ac:dyDescent="0.35">
      <c r="A154" s="17">
        <v>2043</v>
      </c>
      <c r="B154" s="18">
        <f t="shared" si="31"/>
        <v>15938.005334114221</v>
      </c>
      <c r="C154" s="18">
        <f t="shared" si="32"/>
        <v>15938005.334114222</v>
      </c>
      <c r="D154" s="13">
        <v>1330810</v>
      </c>
      <c r="E154" s="45">
        <f t="shared" si="33"/>
        <v>11.97616890022935</v>
      </c>
      <c r="F154" s="45">
        <f t="shared" si="34"/>
        <v>11.97616890022935</v>
      </c>
    </row>
    <row r="155" spans="1:6" x14ac:dyDescent="0.35">
      <c r="A155" s="17">
        <v>2044</v>
      </c>
      <c r="B155" s="18">
        <f t="shared" si="31"/>
        <v>15984.327051341457</v>
      </c>
      <c r="C155" s="18">
        <f t="shared" si="32"/>
        <v>15984327.051341457</v>
      </c>
      <c r="D155" s="13">
        <v>1329282</v>
      </c>
      <c r="E155" s="45">
        <f t="shared" si="33"/>
        <v>12.024782590407044</v>
      </c>
      <c r="F155" s="45">
        <f t="shared" si="34"/>
        <v>12.024782590407044</v>
      </c>
    </row>
    <row r="156" spans="1:6" x14ac:dyDescent="0.35">
      <c r="A156" s="17">
        <v>2045</v>
      </c>
      <c r="B156" s="18">
        <f t="shared" si="31"/>
        <v>16029.892915798153</v>
      </c>
      <c r="C156" s="18">
        <f t="shared" si="32"/>
        <v>16029892.915798154</v>
      </c>
      <c r="D156" s="13">
        <v>1327682</v>
      </c>
      <c r="E156" s="45">
        <f t="shared" si="33"/>
        <v>12.073593613378922</v>
      </c>
      <c r="F156" s="45">
        <f t="shared" si="34"/>
        <v>12.073593613378922</v>
      </c>
    </row>
    <row r="157" spans="1:6" x14ac:dyDescent="0.35">
      <c r="A157" s="17">
        <v>2046</v>
      </c>
      <c r="B157" s="18">
        <f t="shared" si="31"/>
        <v>16074.474292408244</v>
      </c>
      <c r="C157" s="18">
        <f t="shared" si="32"/>
        <v>16074474.292408245</v>
      </c>
      <c r="D157" s="13">
        <v>1325992</v>
      </c>
      <c r="E157" s="45">
        <f t="shared" si="33"/>
        <v>12.122602770158677</v>
      </c>
      <c r="F157" s="45">
        <f t="shared" si="34"/>
        <v>12.122602770158677</v>
      </c>
    </row>
    <row r="158" spans="1:6" x14ac:dyDescent="0.35">
      <c r="A158" s="17">
        <v>2047</v>
      </c>
      <c r="B158" s="18">
        <f t="shared" si="31"/>
        <v>16117.911947448209</v>
      </c>
      <c r="C158" s="18">
        <f t="shared" si="32"/>
        <v>16117911.947448209</v>
      </c>
      <c r="D158" s="13">
        <v>1324200</v>
      </c>
      <c r="E158" s="45">
        <f t="shared" si="33"/>
        <v>12.171810865011485</v>
      </c>
      <c r="F158" s="45">
        <f t="shared" si="34"/>
        <v>12.171810865011485</v>
      </c>
    </row>
    <row r="159" spans="1:6" x14ac:dyDescent="0.35">
      <c r="A159" s="17">
        <v>2048</v>
      </c>
      <c r="B159" s="18">
        <f t="shared" si="31"/>
        <v>16160.105273020565</v>
      </c>
      <c r="C159" s="18">
        <f t="shared" si="32"/>
        <v>16160105.273020566</v>
      </c>
      <c r="D159" s="13">
        <v>1322299</v>
      </c>
      <c r="E159" s="45">
        <f t="shared" si="33"/>
        <v>12.221218705467194</v>
      </c>
      <c r="F159" s="45">
        <f t="shared" si="34"/>
        <v>12.221218705467194</v>
      </c>
    </row>
    <row r="160" spans="1:6" x14ac:dyDescent="0.35">
      <c r="A160" s="17">
        <v>2049</v>
      </c>
      <c r="B160" s="18">
        <f t="shared" si="31"/>
        <v>16200.792627570849</v>
      </c>
      <c r="C160" s="18">
        <f t="shared" si="32"/>
        <v>16200792.627570849</v>
      </c>
      <c r="D160" s="13">
        <v>1320269</v>
      </c>
      <c r="E160" s="45">
        <f t="shared" si="33"/>
        <v>12.270827102333577</v>
      </c>
      <c r="F160" s="45">
        <f t="shared" si="34"/>
        <v>12.270827102333577</v>
      </c>
    </row>
    <row r="161" spans="1:6" x14ac:dyDescent="0.35">
      <c r="A161" s="17">
        <v>2050</v>
      </c>
      <c r="B161" s="18">
        <f t="shared" si="31"/>
        <v>16305.591397796441</v>
      </c>
      <c r="C161" s="18">
        <f>D161*E162</f>
        <v>16305591.397796441</v>
      </c>
      <c r="D161" s="13">
        <v>1318087</v>
      </c>
      <c r="E161" s="45">
        <f t="shared" si="33"/>
        <v>12.320636869709642</v>
      </c>
      <c r="F161" s="45">
        <f t="shared" si="34"/>
        <v>12.320636869709642</v>
      </c>
    </row>
    <row r="162" spans="1:6" x14ac:dyDescent="0.35">
      <c r="C162" s="38"/>
      <c r="D162" s="38"/>
      <c r="E162" s="45">
        <f t="shared" si="33"/>
        <v>12.370648824998987</v>
      </c>
      <c r="F162" s="45">
        <f t="shared" si="34"/>
        <v>12.370648824998987</v>
      </c>
    </row>
    <row r="163" spans="1:6" ht="32" customHeight="1" x14ac:dyDescent="0.35">
      <c r="A163" s="11" t="s">
        <v>128</v>
      </c>
      <c r="B163" s="11" t="s">
        <v>137</v>
      </c>
      <c r="C163" s="11" t="s">
        <v>131</v>
      </c>
      <c r="D163" s="11" t="s">
        <v>132</v>
      </c>
      <c r="E163" s="11" t="s">
        <v>129</v>
      </c>
    </row>
    <row r="164" spans="1:6" x14ac:dyDescent="0.35">
      <c r="A164" s="17">
        <v>2000</v>
      </c>
      <c r="B164" s="34">
        <v>7732</v>
      </c>
      <c r="C164" s="18">
        <f t="shared" ref="C164:C187" si="35">B164*1000</f>
        <v>7732000</v>
      </c>
      <c r="D164" s="13">
        <v>1401250</v>
      </c>
      <c r="E164" s="45">
        <f t="shared" ref="E164:E187" si="36">C164/D164</f>
        <v>5.5179304192685104</v>
      </c>
    </row>
    <row r="165" spans="1:6" x14ac:dyDescent="0.35">
      <c r="A165" s="17">
        <v>2001</v>
      </c>
      <c r="B165" s="34">
        <v>7875</v>
      </c>
      <c r="C165" s="18">
        <f t="shared" si="35"/>
        <v>7875000</v>
      </c>
      <c r="D165" s="13">
        <v>1392720</v>
      </c>
      <c r="E165" s="45">
        <f t="shared" si="36"/>
        <v>5.6544028950542824</v>
      </c>
    </row>
    <row r="166" spans="1:6" x14ac:dyDescent="0.35">
      <c r="A166" s="17">
        <v>2002</v>
      </c>
      <c r="B166" s="34">
        <v>7843</v>
      </c>
      <c r="C166" s="18">
        <f t="shared" si="35"/>
        <v>7843000</v>
      </c>
      <c r="D166" s="13">
        <v>1383510</v>
      </c>
      <c r="E166" s="45">
        <f t="shared" si="36"/>
        <v>5.6689145723558196</v>
      </c>
    </row>
    <row r="167" spans="1:6" x14ac:dyDescent="0.35">
      <c r="A167" s="17">
        <v>2003</v>
      </c>
      <c r="B167" s="34">
        <v>8131</v>
      </c>
      <c r="C167" s="18">
        <f t="shared" si="35"/>
        <v>8131000</v>
      </c>
      <c r="D167" s="13">
        <v>1375190</v>
      </c>
      <c r="E167" s="45">
        <f t="shared" si="36"/>
        <v>5.9126375264508901</v>
      </c>
    </row>
    <row r="168" spans="1:6" x14ac:dyDescent="0.35">
      <c r="A168" s="17">
        <v>2004</v>
      </c>
      <c r="B168" s="34">
        <v>8303</v>
      </c>
      <c r="C168" s="18">
        <f t="shared" si="35"/>
        <v>8303000</v>
      </c>
      <c r="D168" s="13">
        <v>1366250</v>
      </c>
      <c r="E168" s="45">
        <f t="shared" si="36"/>
        <v>6.0772186642268986</v>
      </c>
    </row>
    <row r="169" spans="1:6" x14ac:dyDescent="0.35">
      <c r="A169" s="17">
        <v>2005</v>
      </c>
      <c r="B169" s="34">
        <v>9269</v>
      </c>
      <c r="C169" s="18">
        <f t="shared" si="35"/>
        <v>9269000</v>
      </c>
      <c r="D169" s="13">
        <v>1358850</v>
      </c>
      <c r="E169" s="45">
        <f t="shared" si="36"/>
        <v>6.8212091106450305</v>
      </c>
    </row>
    <row r="170" spans="1:6" x14ac:dyDescent="0.35">
      <c r="A170" s="17">
        <v>2006</v>
      </c>
      <c r="B170" s="34">
        <v>9391</v>
      </c>
      <c r="C170" s="18">
        <f t="shared" si="35"/>
        <v>9391000</v>
      </c>
      <c r="D170" s="13">
        <v>1350700</v>
      </c>
      <c r="E170" s="45">
        <f t="shared" si="36"/>
        <v>6.95269119715703</v>
      </c>
    </row>
    <row r="171" spans="1:6" x14ac:dyDescent="0.35">
      <c r="A171" s="17">
        <v>2007</v>
      </c>
      <c r="B171" s="34">
        <v>9518</v>
      </c>
      <c r="C171" s="18">
        <f t="shared" si="35"/>
        <v>9518000</v>
      </c>
      <c r="D171" s="13">
        <v>1342920</v>
      </c>
      <c r="E171" s="45">
        <f t="shared" si="36"/>
        <v>7.0875405832067431</v>
      </c>
    </row>
    <row r="172" spans="1:6" x14ac:dyDescent="0.35">
      <c r="A172" s="17">
        <v>2008</v>
      </c>
      <c r="B172" s="34">
        <v>8387</v>
      </c>
      <c r="C172" s="18">
        <f t="shared" si="35"/>
        <v>8387000</v>
      </c>
      <c r="D172" s="13">
        <v>1338440</v>
      </c>
      <c r="E172" s="45">
        <f t="shared" si="36"/>
        <v>6.2662502614984605</v>
      </c>
    </row>
    <row r="173" spans="1:6" x14ac:dyDescent="0.35">
      <c r="A173" s="17">
        <v>2009</v>
      </c>
      <c r="B173" s="34">
        <v>8843</v>
      </c>
      <c r="C173" s="18">
        <f t="shared" si="35"/>
        <v>8843000</v>
      </c>
      <c r="D173" s="13">
        <v>1335740</v>
      </c>
      <c r="E173" s="45">
        <f t="shared" si="36"/>
        <v>6.6203003578540738</v>
      </c>
    </row>
    <row r="174" spans="1:6" x14ac:dyDescent="0.35">
      <c r="A174" s="17">
        <v>2010</v>
      </c>
      <c r="B174" s="34">
        <v>8746</v>
      </c>
      <c r="C174" s="18">
        <f t="shared" si="35"/>
        <v>8746000</v>
      </c>
      <c r="D174" s="13">
        <v>1333290</v>
      </c>
      <c r="E174" s="45">
        <f t="shared" si="36"/>
        <v>6.5597131906786972</v>
      </c>
    </row>
    <row r="175" spans="1:6" x14ac:dyDescent="0.35">
      <c r="A175" s="17">
        <v>2011</v>
      </c>
      <c r="B175" s="34">
        <v>8767</v>
      </c>
      <c r="C175" s="18">
        <f t="shared" si="35"/>
        <v>8767000</v>
      </c>
      <c r="D175" s="13">
        <v>1329660</v>
      </c>
      <c r="E175" s="45">
        <f t="shared" si="36"/>
        <v>6.5934148579336069</v>
      </c>
    </row>
    <row r="176" spans="1:6" x14ac:dyDescent="0.35">
      <c r="A176" s="17">
        <v>2012</v>
      </c>
      <c r="B176" s="34">
        <v>8684</v>
      </c>
      <c r="C176" s="18">
        <f t="shared" si="35"/>
        <v>8684000</v>
      </c>
      <c r="D176" s="13">
        <v>1325217</v>
      </c>
      <c r="E176" s="45">
        <f t="shared" si="36"/>
        <v>6.5528890740158028</v>
      </c>
    </row>
    <row r="177" spans="1:7" x14ac:dyDescent="0.35">
      <c r="A177" s="17">
        <v>2013</v>
      </c>
      <c r="B177" s="34">
        <v>9080</v>
      </c>
      <c r="C177" s="18">
        <f t="shared" si="35"/>
        <v>9080000</v>
      </c>
      <c r="D177" s="13">
        <v>1320174</v>
      </c>
      <c r="E177" s="45">
        <f t="shared" si="36"/>
        <v>6.8778812489868759</v>
      </c>
    </row>
    <row r="178" spans="1:7" x14ac:dyDescent="0.35">
      <c r="A178" s="17">
        <v>2014</v>
      </c>
      <c r="B178" s="34">
        <v>8870</v>
      </c>
      <c r="C178" s="18">
        <f t="shared" si="35"/>
        <v>8870000</v>
      </c>
      <c r="D178" s="13">
        <v>1315819</v>
      </c>
      <c r="E178" s="45">
        <f t="shared" si="36"/>
        <v>6.7410487308664795</v>
      </c>
    </row>
    <row r="179" spans="1:7" x14ac:dyDescent="0.35">
      <c r="A179" s="17">
        <v>2015</v>
      </c>
      <c r="B179" s="34">
        <v>9078</v>
      </c>
      <c r="C179" s="18">
        <f t="shared" si="35"/>
        <v>9078000</v>
      </c>
      <c r="D179" s="13">
        <v>1313271</v>
      </c>
      <c r="E179" s="45">
        <f t="shared" si="36"/>
        <v>6.9125108222141511</v>
      </c>
    </row>
    <row r="180" spans="1:7" x14ac:dyDescent="0.35">
      <c r="A180" s="17">
        <v>2016</v>
      </c>
      <c r="B180" s="34">
        <v>9364</v>
      </c>
      <c r="C180" s="18">
        <f t="shared" si="35"/>
        <v>9364000</v>
      </c>
      <c r="D180" s="13">
        <v>1315944</v>
      </c>
      <c r="E180" s="45">
        <f t="shared" si="36"/>
        <v>7.1158043199406658</v>
      </c>
    </row>
    <row r="181" spans="1:7" x14ac:dyDescent="0.35">
      <c r="A181" s="17">
        <v>2017</v>
      </c>
      <c r="B181" s="34">
        <v>9716</v>
      </c>
      <c r="C181" s="18">
        <f t="shared" si="35"/>
        <v>9716000</v>
      </c>
      <c r="D181" s="13">
        <v>1315635</v>
      </c>
      <c r="E181" s="45">
        <f t="shared" si="36"/>
        <v>7.3850270021700544</v>
      </c>
    </row>
    <row r="182" spans="1:7" x14ac:dyDescent="0.35">
      <c r="A182" s="17">
        <v>2018</v>
      </c>
      <c r="B182" s="34">
        <v>9688</v>
      </c>
      <c r="C182" s="18">
        <f t="shared" si="35"/>
        <v>9688000</v>
      </c>
      <c r="D182" s="13">
        <v>1319133</v>
      </c>
      <c r="E182" s="45">
        <f t="shared" si="36"/>
        <v>7.3442177551467518</v>
      </c>
    </row>
    <row r="183" spans="1:7" x14ac:dyDescent="0.35">
      <c r="A183" s="17">
        <v>2019</v>
      </c>
      <c r="B183" s="34">
        <v>9212</v>
      </c>
      <c r="C183" s="18">
        <f t="shared" si="35"/>
        <v>9212000</v>
      </c>
      <c r="D183" s="13">
        <v>1324820</v>
      </c>
      <c r="E183" s="45">
        <f t="shared" si="36"/>
        <v>6.9533974426714575</v>
      </c>
    </row>
    <row r="184" spans="1:7" x14ac:dyDescent="0.35">
      <c r="A184" s="17">
        <v>2020</v>
      </c>
      <c r="B184" s="34">
        <v>9562</v>
      </c>
      <c r="C184" s="18">
        <f t="shared" si="35"/>
        <v>9562000</v>
      </c>
      <c r="D184" s="13">
        <v>1328889</v>
      </c>
      <c r="E184" s="45">
        <f t="shared" si="36"/>
        <v>7.1954843482036495</v>
      </c>
    </row>
    <row r="185" spans="1:7" x14ac:dyDescent="0.35">
      <c r="A185" s="17">
        <v>2021</v>
      </c>
      <c r="B185" s="34">
        <v>9326</v>
      </c>
      <c r="C185" s="18">
        <f t="shared" si="35"/>
        <v>9326000</v>
      </c>
      <c r="D185" s="13">
        <v>1330068</v>
      </c>
      <c r="E185" s="45">
        <f t="shared" si="36"/>
        <v>7.0116715837085017</v>
      </c>
      <c r="G185" s="9" t="s">
        <v>136</v>
      </c>
    </row>
    <row r="186" spans="1:7" x14ac:dyDescent="0.35">
      <c r="A186" s="17">
        <v>2022</v>
      </c>
      <c r="B186" s="34">
        <v>9838</v>
      </c>
      <c r="C186" s="18">
        <f t="shared" si="35"/>
        <v>9838000</v>
      </c>
      <c r="D186" s="13">
        <v>1331796</v>
      </c>
      <c r="E186" s="45">
        <f t="shared" si="36"/>
        <v>7.3870172308671895</v>
      </c>
    </row>
    <row r="187" spans="1:7" x14ac:dyDescent="0.35">
      <c r="A187" s="17">
        <v>2023</v>
      </c>
      <c r="B187" s="34">
        <v>9909</v>
      </c>
      <c r="C187" s="18">
        <f t="shared" si="35"/>
        <v>9909000</v>
      </c>
      <c r="D187" s="13">
        <v>1365884</v>
      </c>
      <c r="E187" s="45">
        <f t="shared" si="36"/>
        <v>7.2546424147292159</v>
      </c>
      <c r="F187" s="45">
        <f>(E187/E177)^(1/10)-1</f>
        <v>5.3473413143609871E-3</v>
      </c>
    </row>
    <row r="188" spans="1:7" x14ac:dyDescent="0.35">
      <c r="A188" s="17">
        <v>2024</v>
      </c>
      <c r="B188" s="18">
        <f t="shared" ref="B188:B214" si="37">C188/1000</f>
        <v>10026.190917472137</v>
      </c>
      <c r="C188" s="18">
        <f t="shared" ref="C188:C213" si="38">D188*E188</f>
        <v>10026190.917472137</v>
      </c>
      <c r="D188" s="13">
        <v>1374687</v>
      </c>
      <c r="E188" s="45">
        <f t="shared" ref="E188:E215" si="39">F188</f>
        <v>7.2934354638344132</v>
      </c>
      <c r="F188" s="45">
        <f>E187*(1+F187)</f>
        <v>7.2934354638344132</v>
      </c>
    </row>
    <row r="189" spans="1:7" x14ac:dyDescent="0.35">
      <c r="A189" s="17">
        <v>2025</v>
      </c>
      <c r="B189" s="18">
        <f t="shared" si="37"/>
        <v>10045.400592901144</v>
      </c>
      <c r="C189" s="18">
        <f t="shared" si="38"/>
        <v>10045400.592901144</v>
      </c>
      <c r="D189" s="13">
        <v>1369995</v>
      </c>
      <c r="E189" s="45">
        <f t="shared" si="39"/>
        <v>7.3324359526138005</v>
      </c>
      <c r="F189" s="45">
        <f t="shared" ref="F189:F215" si="40">F188*(1+$F$187)</f>
        <v>7.3324359526138005</v>
      </c>
    </row>
    <row r="190" spans="1:7" x14ac:dyDescent="0.35">
      <c r="A190" s="17">
        <v>2026</v>
      </c>
      <c r="B190" s="18">
        <f t="shared" si="37"/>
        <v>10047.213026134041</v>
      </c>
      <c r="C190" s="18">
        <f t="shared" si="38"/>
        <v>10047213.02613404</v>
      </c>
      <c r="D190" s="13">
        <v>1362954</v>
      </c>
      <c r="E190" s="45">
        <f t="shared" si="39"/>
        <v>7.371644990318118</v>
      </c>
      <c r="F190" s="45">
        <f t="shared" si="40"/>
        <v>7.371644990318118</v>
      </c>
    </row>
    <row r="191" spans="1:7" x14ac:dyDescent="0.35">
      <c r="A191" s="17">
        <v>2027</v>
      </c>
      <c r="B191" s="18">
        <f t="shared" si="37"/>
        <v>10128.634048460361</v>
      </c>
      <c r="C191" s="18">
        <f t="shared" si="38"/>
        <v>10128634.048460361</v>
      </c>
      <c r="D191" s="13">
        <v>1366691</v>
      </c>
      <c r="E191" s="45">
        <f t="shared" si="39"/>
        <v>7.4110636921296482</v>
      </c>
      <c r="F191" s="45">
        <f t="shared" si="40"/>
        <v>7.4110636921296482</v>
      </c>
    </row>
    <row r="192" spans="1:7" x14ac:dyDescent="0.35">
      <c r="A192" s="17">
        <v>2028</v>
      </c>
      <c r="B192" s="18">
        <f t="shared" si="37"/>
        <v>10153.044693901214</v>
      </c>
      <c r="C192" s="18">
        <f t="shared" si="38"/>
        <v>10153044.693901215</v>
      </c>
      <c r="D192" s="13">
        <v>1362698</v>
      </c>
      <c r="E192" s="45">
        <f t="shared" si="39"/>
        <v>7.4506931791939337</v>
      </c>
      <c r="F192" s="45">
        <f t="shared" si="40"/>
        <v>7.4506931791939337</v>
      </c>
    </row>
    <row r="193" spans="1:6" x14ac:dyDescent="0.35">
      <c r="A193" s="17">
        <v>2029</v>
      </c>
      <c r="B193" s="18">
        <f t="shared" si="37"/>
        <v>10178.370592043821</v>
      </c>
      <c r="C193" s="18">
        <f t="shared" si="38"/>
        <v>10178370.592043821</v>
      </c>
      <c r="D193" s="13">
        <v>1358831</v>
      </c>
      <c r="E193" s="45">
        <f t="shared" si="39"/>
        <v>7.4905345786516646</v>
      </c>
      <c r="F193" s="45">
        <f t="shared" si="40"/>
        <v>7.4905345786516646</v>
      </c>
    </row>
    <row r="194" spans="1:6" x14ac:dyDescent="0.35">
      <c r="A194" s="17">
        <v>2030</v>
      </c>
      <c r="B194" s="18">
        <f t="shared" si="37"/>
        <v>10207.623054517402</v>
      </c>
      <c r="C194" s="18">
        <f t="shared" si="38"/>
        <v>10207623.054517401</v>
      </c>
      <c r="D194" s="13">
        <v>1355488</v>
      </c>
      <c r="E194" s="45">
        <f t="shared" si="39"/>
        <v>7.5305890236707382</v>
      </c>
      <c r="F194" s="45">
        <f t="shared" si="40"/>
        <v>7.5305890236707382</v>
      </c>
    </row>
    <row r="195" spans="1:6" x14ac:dyDescent="0.35">
      <c r="A195" s="17">
        <v>2031</v>
      </c>
      <c r="B195" s="18">
        <f t="shared" si="37"/>
        <v>10239.14586658575</v>
      </c>
      <c r="C195" s="18">
        <f t="shared" si="38"/>
        <v>10239145.86658575</v>
      </c>
      <c r="D195" s="13">
        <v>1352442</v>
      </c>
      <c r="E195" s="45">
        <f t="shared" si="39"/>
        <v>7.5708576534784857</v>
      </c>
      <c r="F195" s="45">
        <f t="shared" si="40"/>
        <v>7.5708576534784857</v>
      </c>
    </row>
    <row r="196" spans="1:6" x14ac:dyDescent="0.35">
      <c r="A196" s="17">
        <v>2032</v>
      </c>
      <c r="B196" s="18">
        <f t="shared" si="37"/>
        <v>10272.350366194394</v>
      </c>
      <c r="C196" s="18">
        <f t="shared" si="38"/>
        <v>10272350.366194393</v>
      </c>
      <c r="D196" s="13">
        <v>1349611</v>
      </c>
      <c r="E196" s="45">
        <f t="shared" si="39"/>
        <v>7.6113416133940772</v>
      </c>
      <c r="F196" s="45">
        <f t="shared" si="40"/>
        <v>7.6113416133940772</v>
      </c>
    </row>
    <row r="197" spans="1:6" x14ac:dyDescent="0.35">
      <c r="A197" s="17">
        <v>2033</v>
      </c>
      <c r="B197" s="18">
        <f t="shared" si="37"/>
        <v>10307.277691771729</v>
      </c>
      <c r="C197" s="18">
        <f t="shared" si="38"/>
        <v>10307277.691771729</v>
      </c>
      <c r="D197" s="13">
        <v>1346997</v>
      </c>
      <c r="E197" s="45">
        <f t="shared" si="39"/>
        <v>7.6520420548610941</v>
      </c>
      <c r="F197" s="45">
        <f t="shared" si="40"/>
        <v>7.6520420548610941</v>
      </c>
    </row>
    <row r="198" spans="1:6" x14ac:dyDescent="0.35">
      <c r="A198" s="17">
        <v>2034</v>
      </c>
      <c r="B198" s="18">
        <f t="shared" si="37"/>
        <v>10344.169601050578</v>
      </c>
      <c r="C198" s="18">
        <f t="shared" si="38"/>
        <v>10344169.601050578</v>
      </c>
      <c r="D198" s="13">
        <v>1344628</v>
      </c>
      <c r="E198" s="45">
        <f t="shared" si="39"/>
        <v>7.6929601354802806</v>
      </c>
      <c r="F198" s="45">
        <f t="shared" si="40"/>
        <v>7.6929601354802806</v>
      </c>
    </row>
    <row r="199" spans="1:6" x14ac:dyDescent="0.35">
      <c r="A199" s="17">
        <v>2035</v>
      </c>
      <c r="B199" s="18">
        <f t="shared" si="37"/>
        <v>10383.295941460177</v>
      </c>
      <c r="C199" s="18">
        <f t="shared" si="38"/>
        <v>10383295.941460177</v>
      </c>
      <c r="D199" s="13">
        <v>1342535</v>
      </c>
      <c r="E199" s="45">
        <f t="shared" si="39"/>
        <v>7.7340970190424665</v>
      </c>
      <c r="F199" s="45">
        <f t="shared" si="40"/>
        <v>7.7340970190424665</v>
      </c>
    </row>
    <row r="200" spans="1:6" x14ac:dyDescent="0.35">
      <c r="A200" s="17">
        <v>2036</v>
      </c>
      <c r="B200" s="18">
        <f t="shared" si="37"/>
        <v>10426.347140810783</v>
      </c>
      <c r="C200" s="18">
        <f t="shared" si="38"/>
        <v>10426347.140810784</v>
      </c>
      <c r="D200" s="13">
        <v>1340931</v>
      </c>
      <c r="E200" s="45">
        <f t="shared" si="39"/>
        <v>7.7754538755616682</v>
      </c>
      <c r="F200" s="45">
        <f t="shared" si="40"/>
        <v>7.7754538755616682</v>
      </c>
    </row>
    <row r="201" spans="1:6" x14ac:dyDescent="0.35">
      <c r="A201" s="17">
        <v>2037</v>
      </c>
      <c r="B201" s="18">
        <f t="shared" si="37"/>
        <v>10469.929258995515</v>
      </c>
      <c r="C201" s="18">
        <f t="shared" si="38"/>
        <v>10469929.258995514</v>
      </c>
      <c r="D201" s="13">
        <v>1339374</v>
      </c>
      <c r="E201" s="45">
        <f t="shared" si="39"/>
        <v>7.8170318813083677</v>
      </c>
      <c r="F201" s="45">
        <f t="shared" si="40"/>
        <v>7.8170318813083677</v>
      </c>
    </row>
    <row r="202" spans="1:6" x14ac:dyDescent="0.35">
      <c r="A202" s="17">
        <v>2038</v>
      </c>
      <c r="B202" s="18">
        <f t="shared" si="37"/>
        <v>10514.229460771159</v>
      </c>
      <c r="C202" s="18">
        <f t="shared" si="38"/>
        <v>10514229.460771158</v>
      </c>
      <c r="D202" s="13">
        <v>1337887</v>
      </c>
      <c r="E202" s="45">
        <f t="shared" si="39"/>
        <v>7.8588322188429647</v>
      </c>
      <c r="F202" s="45">
        <f t="shared" si="40"/>
        <v>7.8588322188429647</v>
      </c>
    </row>
    <row r="203" spans="1:6" x14ac:dyDescent="0.35">
      <c r="A203" s="17">
        <v>2039</v>
      </c>
      <c r="B203" s="18">
        <f t="shared" si="37"/>
        <v>10559.138608453077</v>
      </c>
      <c r="C203" s="18">
        <f t="shared" si="38"/>
        <v>10559138.608453076</v>
      </c>
      <c r="D203" s="13">
        <v>1336455</v>
      </c>
      <c r="E203" s="45">
        <f t="shared" si="39"/>
        <v>7.9008560770494149</v>
      </c>
      <c r="F203" s="45">
        <f t="shared" si="40"/>
        <v>7.9008560770494149</v>
      </c>
    </row>
    <row r="204" spans="1:6" x14ac:dyDescent="0.35">
      <c r="A204" s="17">
        <v>2040</v>
      </c>
      <c r="B204" s="18">
        <f t="shared" si="37"/>
        <v>10604.489523171136</v>
      </c>
      <c r="C204" s="18">
        <f t="shared" si="38"/>
        <v>10604489.523171136</v>
      </c>
      <c r="D204" s="13">
        <v>1335056</v>
      </c>
      <c r="E204" s="45">
        <f t="shared" si="39"/>
        <v>7.9431046511690413</v>
      </c>
      <c r="F204" s="45">
        <f t="shared" si="40"/>
        <v>7.9431046511690413</v>
      </c>
    </row>
    <row r="205" spans="1:6" x14ac:dyDescent="0.35">
      <c r="A205" s="17">
        <v>2041</v>
      </c>
      <c r="B205" s="18">
        <f t="shared" si="37"/>
        <v>10650.1592777407</v>
      </c>
      <c r="C205" s="18">
        <f t="shared" si="38"/>
        <v>10650159.2777407</v>
      </c>
      <c r="D205" s="13">
        <v>1333674</v>
      </c>
      <c r="E205" s="45">
        <f t="shared" si="39"/>
        <v>7.9855791428345304</v>
      </c>
      <c r="F205" s="45">
        <f t="shared" si="40"/>
        <v>7.9855791428345304</v>
      </c>
    </row>
    <row r="206" spans="1:6" x14ac:dyDescent="0.35">
      <c r="A206" s="17">
        <v>2042</v>
      </c>
      <c r="B206" s="18">
        <f t="shared" si="37"/>
        <v>10695.789438579339</v>
      </c>
      <c r="C206" s="18">
        <f t="shared" si="38"/>
        <v>10695789.43857934</v>
      </c>
      <c r="D206" s="13">
        <v>1332264</v>
      </c>
      <c r="E206" s="45">
        <f t="shared" si="39"/>
        <v>8.0282807601041082</v>
      </c>
      <c r="F206" s="45">
        <f t="shared" si="40"/>
        <v>8.0282807601041082</v>
      </c>
    </row>
    <row r="207" spans="1:6" x14ac:dyDescent="0.35">
      <c r="A207" s="17">
        <v>2043</v>
      </c>
      <c r="B207" s="18">
        <f t="shared" si="37"/>
        <v>10741.247934950721</v>
      </c>
      <c r="C207" s="18">
        <f t="shared" si="38"/>
        <v>10741247.934950721</v>
      </c>
      <c r="D207" s="13">
        <v>1330810</v>
      </c>
      <c r="E207" s="45">
        <f t="shared" si="39"/>
        <v>8.0712107174959016</v>
      </c>
      <c r="F207" s="45">
        <f t="shared" si="40"/>
        <v>8.0712107174959016</v>
      </c>
    </row>
    <row r="208" spans="1:6" x14ac:dyDescent="0.35">
      <c r="A208" s="17">
        <v>2044</v>
      </c>
      <c r="B208" s="18">
        <f t="shared" si="37"/>
        <v>10786.286296080434</v>
      </c>
      <c r="C208" s="18">
        <f t="shared" si="38"/>
        <v>10786286.296080435</v>
      </c>
      <c r="D208" s="13">
        <v>1329282</v>
      </c>
      <c r="E208" s="45">
        <f t="shared" si="39"/>
        <v>8.1143702360224808</v>
      </c>
      <c r="F208" s="45">
        <f t="shared" si="40"/>
        <v>8.1143702360224808</v>
      </c>
    </row>
    <row r="209" spans="1:6" x14ac:dyDescent="0.35">
      <c r="A209" s="17">
        <v>2045</v>
      </c>
      <c r="B209" s="18">
        <f t="shared" si="37"/>
        <v>10830.911833550832</v>
      </c>
      <c r="C209" s="18">
        <f t="shared" si="38"/>
        <v>10830911.833550831</v>
      </c>
      <c r="D209" s="13">
        <v>1327682</v>
      </c>
      <c r="E209" s="45">
        <f t="shared" si="39"/>
        <v>8.1577605432255851</v>
      </c>
      <c r="F209" s="45">
        <f t="shared" si="40"/>
        <v>8.1577605432255851</v>
      </c>
    </row>
    <row r="210" spans="1:6" x14ac:dyDescent="0.35">
      <c r="A210" s="17">
        <v>2046</v>
      </c>
      <c r="B210" s="18">
        <f t="shared" si="37"/>
        <v>10874.968078814851</v>
      </c>
      <c r="C210" s="18">
        <f t="shared" si="38"/>
        <v>10874968.078814851</v>
      </c>
      <c r="D210" s="13">
        <v>1325992</v>
      </c>
      <c r="E210" s="45">
        <f t="shared" si="39"/>
        <v>8.2013828732110383</v>
      </c>
      <c r="F210" s="45">
        <f t="shared" si="40"/>
        <v>8.2013828732110383</v>
      </c>
    </row>
    <row r="211" spans="1:6" x14ac:dyDescent="0.35">
      <c r="A211" s="17">
        <v>2047</v>
      </c>
      <c r="B211" s="18">
        <f t="shared" si="37"/>
        <v>10918.344777582757</v>
      </c>
      <c r="C211" s="18">
        <f t="shared" si="38"/>
        <v>10918344.777582757</v>
      </c>
      <c r="D211" s="13">
        <v>1324200</v>
      </c>
      <c r="E211" s="45">
        <f t="shared" si="39"/>
        <v>8.245238466683853</v>
      </c>
      <c r="F211" s="45">
        <f t="shared" si="40"/>
        <v>8.245238466683853</v>
      </c>
    </row>
    <row r="212" spans="1:6" x14ac:dyDescent="0.35">
      <c r="A212" s="17">
        <v>2048</v>
      </c>
      <c r="B212" s="18">
        <f t="shared" si="37"/>
        <v>10960.970880082927</v>
      </c>
      <c r="C212" s="18">
        <f t="shared" si="38"/>
        <v>10960970.880082926</v>
      </c>
      <c r="D212" s="13">
        <v>1322299</v>
      </c>
      <c r="E212" s="45">
        <f t="shared" si="39"/>
        <v>8.2893285709835105</v>
      </c>
      <c r="F212" s="45">
        <f t="shared" si="40"/>
        <v>8.2893285709835105</v>
      </c>
    </row>
    <row r="213" spans="1:6" x14ac:dyDescent="0.35">
      <c r="A213" s="17">
        <v>2049</v>
      </c>
      <c r="B213" s="18">
        <f t="shared" si="37"/>
        <v>11002.665614002059</v>
      </c>
      <c r="C213" s="18">
        <f t="shared" si="38"/>
        <v>11002665.614002058</v>
      </c>
      <c r="D213" s="13">
        <v>1320269</v>
      </c>
      <c r="E213" s="45">
        <f t="shared" si="39"/>
        <v>8.3336544401194441</v>
      </c>
      <c r="F213" s="45">
        <f t="shared" si="40"/>
        <v>8.3336544401194441</v>
      </c>
    </row>
    <row r="214" spans="1:6" x14ac:dyDescent="0.35">
      <c r="A214" s="17">
        <v>2050</v>
      </c>
      <c r="B214" s="18">
        <f t="shared" si="37"/>
        <v>11102.271215268844</v>
      </c>
      <c r="C214" s="18">
        <f>D214*E215</f>
        <v>11102271.215268843</v>
      </c>
      <c r="D214" s="13">
        <v>1318087</v>
      </c>
      <c r="E214" s="45">
        <f t="shared" si="39"/>
        <v>8.3782173348067026</v>
      </c>
      <c r="F214" s="45">
        <f t="shared" si="40"/>
        <v>8.3782173348067026</v>
      </c>
    </row>
    <row r="215" spans="1:6" x14ac:dyDescent="0.35">
      <c r="E215" s="45">
        <f t="shared" si="39"/>
        <v>8.4230185225018097</v>
      </c>
      <c r="F215" s="45">
        <f t="shared" si="40"/>
        <v>8.4230185225018097</v>
      </c>
    </row>
  </sheetData>
  <sheetProtection algorithmName="SHA-512" hashValue="jtrajTnHLujKxGW7rN3uMHnguqs+tsOH9na6uP0p5Q3uBsfzD6S7yPFZ86lWvnBbRJYnf7x8cz4qAinTm+cNFQ==" saltValue="hLp2Is0RGAu0tDVsg/pWzQ==" spinCount="100000" sheet="1" objects="1" scenarios="1"/>
  <mergeCells count="7">
    <mergeCell ref="V1:X1"/>
    <mergeCell ref="Z1:AB1"/>
    <mergeCell ref="A1:D1"/>
    <mergeCell ref="F1:H1"/>
    <mergeCell ref="J1:L1"/>
    <mergeCell ref="N1:P1"/>
    <mergeCell ref="R1:T1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3F8F68"/>
  </sheetPr>
  <dimension ref="A1:AE214"/>
  <sheetViews>
    <sheetView showGridLines="0" zoomScaleNormal="100" workbookViewId="0">
      <selection activeCell="E16" sqref="E16"/>
    </sheetView>
  </sheetViews>
  <sheetFormatPr defaultColWidth="8.54296875" defaultRowHeight="14.5" x14ac:dyDescent="0.35"/>
  <cols>
    <col min="1" max="1" width="7.81640625" customWidth="1"/>
    <col min="2" max="3" width="21.1796875" customWidth="1"/>
    <col min="4" max="4" width="10.1796875" customWidth="1"/>
    <col min="5" max="5" width="13.81640625" customWidth="1"/>
    <col min="6" max="8" width="8.54296875" style="7"/>
    <col min="18" max="20" width="8.54296875" style="7"/>
  </cols>
  <sheetData>
    <row r="1" spans="1:28" x14ac:dyDescent="0.35">
      <c r="A1" s="78" t="s">
        <v>121</v>
      </c>
      <c r="B1" s="78"/>
      <c r="C1" s="78"/>
      <c r="D1" s="78"/>
      <c r="F1" s="78" t="s">
        <v>122</v>
      </c>
      <c r="G1" s="78"/>
      <c r="H1" s="78"/>
      <c r="I1" s="7"/>
      <c r="J1" s="78" t="s">
        <v>123</v>
      </c>
      <c r="K1" s="78"/>
      <c r="L1" s="78"/>
      <c r="M1" s="7"/>
      <c r="N1" s="78" t="s">
        <v>124</v>
      </c>
      <c r="O1" s="78"/>
      <c r="P1" s="78"/>
      <c r="R1" s="78" t="s">
        <v>122</v>
      </c>
      <c r="S1" s="78"/>
      <c r="T1" s="78"/>
      <c r="U1" s="7"/>
      <c r="V1" s="78" t="s">
        <v>125</v>
      </c>
      <c r="W1" s="78"/>
      <c r="X1" s="78"/>
      <c r="Y1" s="7"/>
      <c r="Z1" s="78" t="s">
        <v>124</v>
      </c>
      <c r="AA1" s="78"/>
      <c r="AB1" s="78"/>
    </row>
    <row r="2" spans="1:28" ht="19" customHeight="1" x14ac:dyDescent="0.35">
      <c r="A2" s="11"/>
      <c r="B2" s="11" t="s">
        <v>126</v>
      </c>
      <c r="C2" s="11" t="s">
        <v>127</v>
      </c>
      <c r="D2" s="11" t="s">
        <v>128</v>
      </c>
      <c r="F2" s="11" t="s">
        <v>126</v>
      </c>
      <c r="G2" s="11" t="s">
        <v>127</v>
      </c>
      <c r="H2" s="11" t="s">
        <v>128</v>
      </c>
      <c r="I2" s="7"/>
      <c r="J2" s="11" t="s">
        <v>126</v>
      </c>
      <c r="K2" s="11" t="s">
        <v>127</v>
      </c>
      <c r="L2" s="11" t="s">
        <v>128</v>
      </c>
      <c r="M2" s="7"/>
      <c r="N2" s="11" t="s">
        <v>126</v>
      </c>
      <c r="O2" s="11" t="s">
        <v>127</v>
      </c>
      <c r="P2" s="11" t="s">
        <v>128</v>
      </c>
      <c r="R2" s="11" t="s">
        <v>126</v>
      </c>
      <c r="S2" s="11" t="s">
        <v>127</v>
      </c>
      <c r="T2" s="11" t="s">
        <v>128</v>
      </c>
      <c r="U2" s="7"/>
      <c r="V2" s="11" t="s">
        <v>126</v>
      </c>
      <c r="W2" s="11" t="s">
        <v>127</v>
      </c>
      <c r="X2" s="11" t="s">
        <v>128</v>
      </c>
      <c r="Y2" s="7"/>
      <c r="Z2" s="11" t="s">
        <v>126</v>
      </c>
      <c r="AA2" s="11" t="s">
        <v>127</v>
      </c>
      <c r="AB2" s="11" t="s">
        <v>128</v>
      </c>
    </row>
    <row r="3" spans="1:28" x14ac:dyDescent="0.35">
      <c r="A3" s="17">
        <v>2000</v>
      </c>
      <c r="B3" s="18">
        <f t="shared" ref="B3:B34" si="0">B58</f>
        <v>6686</v>
      </c>
      <c r="C3" s="18">
        <f t="shared" ref="C3:C34" si="1">B111</f>
        <v>20927.794519999999</v>
      </c>
      <c r="D3" s="18">
        <f t="shared" ref="D3:D34" si="2">B164</f>
        <v>8410.8400619999993</v>
      </c>
      <c r="F3" s="44">
        <v>0.21430945653980399</v>
      </c>
      <c r="G3" s="44">
        <v>0.13</v>
      </c>
      <c r="H3" s="44">
        <v>1.8065325803362099E-2</v>
      </c>
      <c r="I3" s="7"/>
      <c r="J3" s="44">
        <v>0.21430945653980399</v>
      </c>
      <c r="K3" s="44">
        <v>0.13</v>
      </c>
      <c r="L3" s="44">
        <v>1.8065325803362099E-2</v>
      </c>
      <c r="M3" s="7"/>
      <c r="N3" s="44">
        <v>0.21430945653980399</v>
      </c>
      <c r="O3" s="44">
        <v>0.13</v>
      </c>
      <c r="P3" s="44">
        <v>1.8065325803362099E-2</v>
      </c>
      <c r="R3" s="18">
        <f t="shared" ref="R3:R34" si="3">F3*B3</f>
        <v>1432.8730264251294</v>
      </c>
      <c r="S3" s="18">
        <f t="shared" ref="S3:S34" si="4">G3*C3</f>
        <v>2720.6132876000001</v>
      </c>
      <c r="T3" s="18">
        <f t="shared" ref="T3:T34" si="5">H3*D3</f>
        <v>151.94456600000026</v>
      </c>
      <c r="U3" s="7"/>
      <c r="V3" s="18">
        <f t="shared" ref="V3:V34" si="6">J3*B3</f>
        <v>1432.8730264251294</v>
      </c>
      <c r="W3" s="18">
        <f t="shared" ref="W3:W34" si="7">K3*C3</f>
        <v>2720.6132876000001</v>
      </c>
      <c r="X3" s="18">
        <f t="shared" ref="X3:X34" si="8">L3*D3</f>
        <v>151.94456600000026</v>
      </c>
      <c r="Y3" s="7"/>
      <c r="Z3" s="18">
        <f t="shared" ref="Z3:Z34" si="9">N3*B3</f>
        <v>1432.8730264251294</v>
      </c>
      <c r="AA3" s="18">
        <f t="shared" ref="AA3:AA34" si="10">O3*C3</f>
        <v>2720.6132876000001</v>
      </c>
      <c r="AB3" s="18">
        <f t="shared" ref="AB3:AB34" si="11">P3*D3</f>
        <v>151.94456600000026</v>
      </c>
    </row>
    <row r="4" spans="1:28" x14ac:dyDescent="0.35">
      <c r="A4" s="17">
        <v>2001</v>
      </c>
      <c r="B4" s="18">
        <f t="shared" si="0"/>
        <v>7109</v>
      </c>
      <c r="C4" s="18">
        <f t="shared" si="1"/>
        <v>22613.073646000001</v>
      </c>
      <c r="D4" s="18">
        <f t="shared" si="2"/>
        <v>9915.0079320000004</v>
      </c>
      <c r="F4" s="44">
        <v>0.21732504981831</v>
      </c>
      <c r="G4" s="44">
        <v>0.12</v>
      </c>
      <c r="H4" s="44">
        <v>1.7425897910012901E-2</v>
      </c>
      <c r="I4" s="7"/>
      <c r="J4" s="44">
        <v>0.21732504981831</v>
      </c>
      <c r="K4" s="44">
        <v>0.12</v>
      </c>
      <c r="L4" s="44">
        <v>1.7425897910012901E-2</v>
      </c>
      <c r="M4" s="7"/>
      <c r="N4" s="44">
        <v>0.21732504981831</v>
      </c>
      <c r="O4" s="44">
        <v>0.12</v>
      </c>
      <c r="P4" s="44">
        <v>1.7425897910012901E-2</v>
      </c>
      <c r="R4" s="18">
        <f t="shared" si="3"/>
        <v>1544.9637791583657</v>
      </c>
      <c r="S4" s="18">
        <f t="shared" si="4"/>
        <v>2713.5688375199998</v>
      </c>
      <c r="T4" s="18">
        <f t="shared" si="5"/>
        <v>172.77791600000015</v>
      </c>
      <c r="U4" s="7"/>
      <c r="V4" s="18">
        <f t="shared" si="6"/>
        <v>1544.9637791583657</v>
      </c>
      <c r="W4" s="18">
        <f t="shared" si="7"/>
        <v>2713.5688375199998</v>
      </c>
      <c r="X4" s="18">
        <f t="shared" si="8"/>
        <v>172.77791600000015</v>
      </c>
      <c r="Y4" s="7"/>
      <c r="Z4" s="18">
        <f t="shared" si="9"/>
        <v>1544.9637791583657</v>
      </c>
      <c r="AA4" s="18">
        <f t="shared" si="10"/>
        <v>2713.5688375199998</v>
      </c>
      <c r="AB4" s="18">
        <f t="shared" si="11"/>
        <v>172.77791600000015</v>
      </c>
    </row>
    <row r="5" spans="1:28" x14ac:dyDescent="0.35">
      <c r="A5" s="17">
        <v>2002</v>
      </c>
      <c r="B5" s="18">
        <f t="shared" si="0"/>
        <v>7212</v>
      </c>
      <c r="C5" s="18">
        <f t="shared" si="1"/>
        <v>22865.018292000001</v>
      </c>
      <c r="D5" s="18">
        <f t="shared" si="2"/>
        <v>10170.008136</v>
      </c>
      <c r="F5" s="44">
        <v>0.21157846082736301</v>
      </c>
      <c r="G5" s="44">
        <v>0.13</v>
      </c>
      <c r="H5" s="44">
        <v>1.4148366655741301E-2</v>
      </c>
      <c r="I5" s="7"/>
      <c r="J5" s="44">
        <v>0.21157846082736301</v>
      </c>
      <c r="K5" s="44">
        <v>0.13</v>
      </c>
      <c r="L5" s="44">
        <v>1.4148366655741301E-2</v>
      </c>
      <c r="M5" s="7"/>
      <c r="N5" s="44">
        <v>0.21157846082736301</v>
      </c>
      <c r="O5" s="44">
        <v>0.13</v>
      </c>
      <c r="P5" s="44">
        <v>1.4148366655741301E-2</v>
      </c>
      <c r="R5" s="18">
        <f t="shared" si="3"/>
        <v>1525.9038594869421</v>
      </c>
      <c r="S5" s="18">
        <f t="shared" si="4"/>
        <v>2972.4523779600004</v>
      </c>
      <c r="T5" s="18">
        <f t="shared" si="5"/>
        <v>143.88900400000014</v>
      </c>
      <c r="U5" s="7"/>
      <c r="V5" s="18">
        <f t="shared" si="6"/>
        <v>1525.9038594869421</v>
      </c>
      <c r="W5" s="18">
        <f t="shared" si="7"/>
        <v>2972.4523779600004</v>
      </c>
      <c r="X5" s="18">
        <f t="shared" si="8"/>
        <v>143.88900400000014</v>
      </c>
      <c r="Y5" s="7"/>
      <c r="Z5" s="18">
        <f t="shared" si="9"/>
        <v>1525.9038594869421</v>
      </c>
      <c r="AA5" s="18">
        <f t="shared" si="10"/>
        <v>2972.4523779600004</v>
      </c>
      <c r="AB5" s="18">
        <f t="shared" si="11"/>
        <v>143.88900400000014</v>
      </c>
    </row>
    <row r="6" spans="1:28" x14ac:dyDescent="0.35">
      <c r="A6" s="17">
        <v>2003</v>
      </c>
      <c r="B6" s="18">
        <f t="shared" si="0"/>
        <v>7296</v>
      </c>
      <c r="C6" s="18">
        <f t="shared" si="1"/>
        <v>24004.185870000001</v>
      </c>
      <c r="D6" s="18">
        <f t="shared" si="2"/>
        <v>10708.064122</v>
      </c>
      <c r="F6" s="44">
        <v>0.21998020254321199</v>
      </c>
      <c r="G6" s="44">
        <v>0.14000000000000001</v>
      </c>
      <c r="H6" s="44">
        <v>1.2685153959895199E-2</v>
      </c>
      <c r="I6" s="7"/>
      <c r="J6" s="44">
        <v>0.21998020254321199</v>
      </c>
      <c r="K6" s="44">
        <v>0.14000000000000001</v>
      </c>
      <c r="L6" s="44">
        <v>1.2685153959895199E-2</v>
      </c>
      <c r="M6" s="7"/>
      <c r="N6" s="44">
        <v>0.21998020254321199</v>
      </c>
      <c r="O6" s="44">
        <v>0.14000000000000001</v>
      </c>
      <c r="P6" s="44">
        <v>1.2685153959895199E-2</v>
      </c>
      <c r="R6" s="18">
        <f t="shared" si="3"/>
        <v>1604.9755577552746</v>
      </c>
      <c r="S6" s="18">
        <f t="shared" si="4"/>
        <v>3360.5860218000007</v>
      </c>
      <c r="T6" s="18">
        <f t="shared" si="5"/>
        <v>135.83344200000002</v>
      </c>
      <c r="U6" s="7"/>
      <c r="V6" s="18">
        <f t="shared" si="6"/>
        <v>1604.9755577552746</v>
      </c>
      <c r="W6" s="18">
        <f t="shared" si="7"/>
        <v>3360.5860218000007</v>
      </c>
      <c r="X6" s="18">
        <f t="shared" si="8"/>
        <v>135.83344200000002</v>
      </c>
      <c r="Y6" s="7"/>
      <c r="Z6" s="18">
        <f t="shared" si="9"/>
        <v>1604.9755577552746</v>
      </c>
      <c r="AA6" s="18">
        <f t="shared" si="10"/>
        <v>3360.5860218000007</v>
      </c>
      <c r="AB6" s="18">
        <f t="shared" si="11"/>
        <v>135.83344200000002</v>
      </c>
    </row>
    <row r="7" spans="1:28" x14ac:dyDescent="0.35">
      <c r="A7" s="17">
        <v>2004</v>
      </c>
      <c r="B7" s="18">
        <f t="shared" si="0"/>
        <v>7781</v>
      </c>
      <c r="C7" s="18">
        <f t="shared" si="1"/>
        <v>24070.019256</v>
      </c>
      <c r="D7" s="18">
        <f t="shared" si="2"/>
        <v>11234.453432</v>
      </c>
      <c r="F7" s="44">
        <v>0.20998893291921</v>
      </c>
      <c r="G7" s="44">
        <v>0.14000000000000001</v>
      </c>
      <c r="H7" s="44">
        <v>1.2362773217288099E-2</v>
      </c>
      <c r="I7" s="7"/>
      <c r="J7" s="44">
        <v>0.20998893291921</v>
      </c>
      <c r="K7" s="44">
        <v>0.14000000000000001</v>
      </c>
      <c r="L7" s="44">
        <v>1.2362773217288099E-2</v>
      </c>
      <c r="M7" s="7"/>
      <c r="N7" s="44">
        <v>0.20998893291921</v>
      </c>
      <c r="O7" s="44">
        <v>0.14000000000000001</v>
      </c>
      <c r="P7" s="44">
        <v>1.2362773217288099E-2</v>
      </c>
      <c r="R7" s="18">
        <f t="shared" si="3"/>
        <v>1633.923887044373</v>
      </c>
      <c r="S7" s="18">
        <f t="shared" si="4"/>
        <v>3369.8026958400001</v>
      </c>
      <c r="T7" s="18">
        <f t="shared" si="5"/>
        <v>138.88899999999998</v>
      </c>
      <c r="U7" s="7"/>
      <c r="V7" s="18">
        <f t="shared" si="6"/>
        <v>1633.923887044373</v>
      </c>
      <c r="W7" s="18">
        <f t="shared" si="7"/>
        <v>3369.8026958400001</v>
      </c>
      <c r="X7" s="18">
        <f t="shared" si="8"/>
        <v>138.88899999999998</v>
      </c>
      <c r="Y7" s="7"/>
      <c r="Z7" s="18">
        <f t="shared" si="9"/>
        <v>1633.923887044373</v>
      </c>
      <c r="AA7" s="18">
        <f t="shared" si="10"/>
        <v>3369.8026958400001</v>
      </c>
      <c r="AB7" s="18">
        <f t="shared" si="11"/>
        <v>138.88899999999998</v>
      </c>
    </row>
    <row r="8" spans="1:28" x14ac:dyDescent="0.35">
      <c r="A8" s="17">
        <v>2005</v>
      </c>
      <c r="B8" s="18">
        <f t="shared" si="0"/>
        <v>8199</v>
      </c>
      <c r="C8" s="18">
        <f t="shared" si="1"/>
        <v>24413.630642</v>
      </c>
      <c r="D8" s="18">
        <f t="shared" si="2"/>
        <v>11746.120508</v>
      </c>
      <c r="F8" s="44">
        <v>0.207345168722049</v>
      </c>
      <c r="G8" s="44">
        <v>0.15</v>
      </c>
      <c r="H8" s="44">
        <v>1.2580996074350899E-2</v>
      </c>
      <c r="I8" s="7"/>
      <c r="J8" s="44">
        <v>0.207345168722049</v>
      </c>
      <c r="K8" s="44">
        <v>0.15</v>
      </c>
      <c r="L8" s="44">
        <v>1.2580996074350899E-2</v>
      </c>
      <c r="M8" s="7"/>
      <c r="N8" s="44">
        <v>0.207345168722049</v>
      </c>
      <c r="O8" s="44">
        <v>0.15</v>
      </c>
      <c r="P8" s="44">
        <v>1.2580996074350899E-2</v>
      </c>
      <c r="R8" s="18">
        <f t="shared" si="3"/>
        <v>1700.0230383520798</v>
      </c>
      <c r="S8" s="18">
        <f t="shared" si="4"/>
        <v>3662.0445962999997</v>
      </c>
      <c r="T8" s="18">
        <f t="shared" si="5"/>
        <v>147.7778960000006</v>
      </c>
      <c r="U8" s="7"/>
      <c r="V8" s="18">
        <f t="shared" si="6"/>
        <v>1700.0230383520798</v>
      </c>
      <c r="W8" s="18">
        <f t="shared" si="7"/>
        <v>3662.0445962999997</v>
      </c>
      <c r="X8" s="18">
        <f t="shared" si="8"/>
        <v>147.7778960000006</v>
      </c>
      <c r="Y8" s="7"/>
      <c r="Z8" s="18">
        <f t="shared" si="9"/>
        <v>1700.0230383520798</v>
      </c>
      <c r="AA8" s="18">
        <f t="shared" si="10"/>
        <v>3662.0445962999997</v>
      </c>
      <c r="AB8" s="18">
        <f t="shared" si="11"/>
        <v>147.7778960000006</v>
      </c>
    </row>
    <row r="9" spans="1:28" x14ac:dyDescent="0.35">
      <c r="A9" s="17">
        <v>2006</v>
      </c>
      <c r="B9" s="18">
        <f t="shared" si="0"/>
        <v>8627</v>
      </c>
      <c r="C9" s="18">
        <f t="shared" si="1"/>
        <v>24618.353028000001</v>
      </c>
      <c r="D9" s="18">
        <f t="shared" si="2"/>
        <v>12963.89926</v>
      </c>
      <c r="F9" s="44">
        <v>0.203889747552808</v>
      </c>
      <c r="G9" s="44">
        <v>0.16</v>
      </c>
      <c r="H9" s="44">
        <v>1.1570602099850001E-2</v>
      </c>
      <c r="I9" s="7"/>
      <c r="J9" s="44">
        <v>0.203889747552808</v>
      </c>
      <c r="K9" s="44">
        <v>0.16</v>
      </c>
      <c r="L9" s="44">
        <v>1.1570602099850001E-2</v>
      </c>
      <c r="M9" s="7"/>
      <c r="N9" s="44">
        <v>0.203889747552808</v>
      </c>
      <c r="O9" s="44">
        <v>0.16</v>
      </c>
      <c r="P9" s="44">
        <v>1.1570602099850001E-2</v>
      </c>
      <c r="R9" s="18">
        <f t="shared" si="3"/>
        <v>1758.9568521380747</v>
      </c>
      <c r="S9" s="18">
        <f t="shared" si="4"/>
        <v>3938.9364844800002</v>
      </c>
      <c r="T9" s="18">
        <f t="shared" si="5"/>
        <v>150.00011999999987</v>
      </c>
      <c r="U9" s="7"/>
      <c r="V9" s="18">
        <f t="shared" si="6"/>
        <v>1758.9568521380747</v>
      </c>
      <c r="W9" s="18">
        <f t="shared" si="7"/>
        <v>3938.9364844800002</v>
      </c>
      <c r="X9" s="18">
        <f t="shared" si="8"/>
        <v>150.00011999999987</v>
      </c>
      <c r="Y9" s="7"/>
      <c r="Z9" s="18">
        <f t="shared" si="9"/>
        <v>1758.9568521380747</v>
      </c>
      <c r="AA9" s="18">
        <f t="shared" si="10"/>
        <v>3938.9364844800002</v>
      </c>
      <c r="AB9" s="18">
        <f t="shared" si="11"/>
        <v>150.00011999999987</v>
      </c>
    </row>
    <row r="10" spans="1:28" x14ac:dyDescent="0.35">
      <c r="A10" s="17">
        <v>2007</v>
      </c>
      <c r="B10" s="18">
        <f t="shared" si="0"/>
        <v>8416</v>
      </c>
      <c r="C10" s="18">
        <f t="shared" si="1"/>
        <v>24904.742146000001</v>
      </c>
      <c r="D10" s="18">
        <f t="shared" si="2"/>
        <v>14595.011676</v>
      </c>
      <c r="F10" s="44">
        <v>0.21574969470939601</v>
      </c>
      <c r="G10" s="44">
        <v>0.18</v>
      </c>
      <c r="H10" s="44">
        <v>9.5732937459556203E-3</v>
      </c>
      <c r="I10" s="7"/>
      <c r="J10" s="44">
        <v>0.21574969470939601</v>
      </c>
      <c r="K10" s="44">
        <v>0.18</v>
      </c>
      <c r="L10" s="44">
        <v>9.5732937459556203E-3</v>
      </c>
      <c r="M10" s="7"/>
      <c r="N10" s="44">
        <v>0.21574969470939601</v>
      </c>
      <c r="O10" s="44">
        <v>0.18</v>
      </c>
      <c r="P10" s="44">
        <v>9.5732937459556203E-3</v>
      </c>
      <c r="R10" s="18">
        <f t="shared" si="3"/>
        <v>1815.7494306742767</v>
      </c>
      <c r="S10" s="18">
        <f t="shared" si="4"/>
        <v>4482.8535862799999</v>
      </c>
      <c r="T10" s="18">
        <f t="shared" si="5"/>
        <v>139.72233400000005</v>
      </c>
      <c r="U10" s="7"/>
      <c r="V10" s="18">
        <f t="shared" si="6"/>
        <v>1815.7494306742767</v>
      </c>
      <c r="W10" s="18">
        <f t="shared" si="7"/>
        <v>4482.8535862799999</v>
      </c>
      <c r="X10" s="18">
        <f t="shared" si="8"/>
        <v>139.72233400000005</v>
      </c>
      <c r="Y10" s="7"/>
      <c r="Z10" s="18">
        <f t="shared" si="9"/>
        <v>1815.7494306742767</v>
      </c>
      <c r="AA10" s="18">
        <f t="shared" si="10"/>
        <v>4482.8535862799999</v>
      </c>
      <c r="AB10" s="18">
        <f t="shared" si="11"/>
        <v>139.72233400000005</v>
      </c>
    </row>
    <row r="11" spans="1:28" x14ac:dyDescent="0.35">
      <c r="A11" s="17">
        <v>2008</v>
      </c>
      <c r="B11" s="18">
        <f t="shared" si="0"/>
        <v>8983</v>
      </c>
      <c r="C11" s="18">
        <f t="shared" si="1"/>
        <v>23987</v>
      </c>
      <c r="D11" s="18">
        <f t="shared" si="2"/>
        <v>15175</v>
      </c>
      <c r="F11" s="44">
        <v>0.19</v>
      </c>
      <c r="G11" s="44">
        <v>0.19</v>
      </c>
      <c r="H11" s="44">
        <v>8.9999999999999993E-3</v>
      </c>
      <c r="I11" s="7"/>
      <c r="J11" s="44">
        <v>0.19</v>
      </c>
      <c r="K11" s="44">
        <v>0.19</v>
      </c>
      <c r="L11" s="44">
        <v>8.9999999999999993E-3</v>
      </c>
      <c r="M11" s="7"/>
      <c r="N11" s="44">
        <v>0.19</v>
      </c>
      <c r="O11" s="44">
        <v>0.19</v>
      </c>
      <c r="P11" s="44">
        <v>8.9999999999999993E-3</v>
      </c>
      <c r="R11" s="18">
        <f t="shared" si="3"/>
        <v>1706.77</v>
      </c>
      <c r="S11" s="18">
        <f t="shared" si="4"/>
        <v>4557.53</v>
      </c>
      <c r="T11" s="18">
        <f t="shared" si="5"/>
        <v>136.57499999999999</v>
      </c>
      <c r="U11" s="7"/>
      <c r="V11" s="18">
        <f t="shared" si="6"/>
        <v>1706.77</v>
      </c>
      <c r="W11" s="18">
        <f t="shared" si="7"/>
        <v>4557.53</v>
      </c>
      <c r="X11" s="18">
        <f t="shared" si="8"/>
        <v>136.57499999999999</v>
      </c>
      <c r="Y11" s="7"/>
      <c r="Z11" s="18">
        <f t="shared" si="9"/>
        <v>1706.77</v>
      </c>
      <c r="AA11" s="18">
        <f t="shared" si="10"/>
        <v>4557.53</v>
      </c>
      <c r="AB11" s="18">
        <f t="shared" si="11"/>
        <v>136.57499999999999</v>
      </c>
    </row>
    <row r="12" spans="1:28" x14ac:dyDescent="0.35">
      <c r="A12" s="17">
        <v>2009</v>
      </c>
      <c r="B12" s="18">
        <f t="shared" si="0"/>
        <v>8302</v>
      </c>
      <c r="C12" s="18">
        <f t="shared" si="1"/>
        <v>24523</v>
      </c>
      <c r="D12" s="18">
        <f t="shared" si="2"/>
        <v>13445</v>
      </c>
      <c r="F12" s="44">
        <v>0.18</v>
      </c>
      <c r="G12" s="44">
        <v>0.18</v>
      </c>
      <c r="H12" s="44">
        <v>8.9999999999999993E-3</v>
      </c>
      <c r="I12" s="7"/>
      <c r="J12" s="44">
        <v>0.18</v>
      </c>
      <c r="K12" s="44">
        <v>0.18</v>
      </c>
      <c r="L12" s="44">
        <v>8.9999999999999993E-3</v>
      </c>
      <c r="M12" s="7"/>
      <c r="N12" s="44">
        <v>0.18</v>
      </c>
      <c r="O12" s="44">
        <v>0.18</v>
      </c>
      <c r="P12" s="44">
        <v>8.9999999999999993E-3</v>
      </c>
      <c r="R12" s="18">
        <f t="shared" si="3"/>
        <v>1494.36</v>
      </c>
      <c r="S12" s="18">
        <f t="shared" si="4"/>
        <v>4414.1399999999994</v>
      </c>
      <c r="T12" s="18">
        <f t="shared" si="5"/>
        <v>121.005</v>
      </c>
      <c r="U12" s="7"/>
      <c r="V12" s="18">
        <f t="shared" si="6"/>
        <v>1494.36</v>
      </c>
      <c r="W12" s="18">
        <f t="shared" si="7"/>
        <v>4414.1399999999994</v>
      </c>
      <c r="X12" s="18">
        <f t="shared" si="8"/>
        <v>121.005</v>
      </c>
      <c r="Y12" s="7"/>
      <c r="Z12" s="18">
        <f t="shared" si="9"/>
        <v>1494.36</v>
      </c>
      <c r="AA12" s="18">
        <f t="shared" si="10"/>
        <v>4414.1399999999994</v>
      </c>
      <c r="AB12" s="18">
        <f t="shared" si="11"/>
        <v>121.005</v>
      </c>
    </row>
    <row r="13" spans="1:28" x14ac:dyDescent="0.35">
      <c r="A13" s="17">
        <v>2010</v>
      </c>
      <c r="B13" s="18">
        <f t="shared" si="0"/>
        <v>9694</v>
      </c>
      <c r="C13" s="18">
        <f t="shared" si="1"/>
        <v>23144</v>
      </c>
      <c r="D13" s="18">
        <f t="shared" si="2"/>
        <v>14126</v>
      </c>
      <c r="F13" s="44">
        <v>0.16</v>
      </c>
      <c r="G13" s="44">
        <v>0.19</v>
      </c>
      <c r="H13" s="44">
        <v>8.9999999999999993E-3</v>
      </c>
      <c r="I13" s="7"/>
      <c r="J13" s="44">
        <v>0.16</v>
      </c>
      <c r="K13" s="44">
        <v>0.19</v>
      </c>
      <c r="L13" s="44">
        <v>8.9999999999999993E-3</v>
      </c>
      <c r="M13" s="7"/>
      <c r="N13" s="44">
        <v>0.16</v>
      </c>
      <c r="O13" s="44">
        <v>0.19</v>
      </c>
      <c r="P13" s="44">
        <v>8.9999999999999993E-3</v>
      </c>
      <c r="R13" s="18">
        <f t="shared" si="3"/>
        <v>1551.04</v>
      </c>
      <c r="S13" s="18">
        <f t="shared" si="4"/>
        <v>4397.3599999999997</v>
      </c>
      <c r="T13" s="18">
        <f t="shared" si="5"/>
        <v>127.13399999999999</v>
      </c>
      <c r="U13" s="7"/>
      <c r="V13" s="18">
        <f t="shared" si="6"/>
        <v>1551.04</v>
      </c>
      <c r="W13" s="18">
        <f t="shared" si="7"/>
        <v>4397.3599999999997</v>
      </c>
      <c r="X13" s="18">
        <f t="shared" si="8"/>
        <v>127.13399999999999</v>
      </c>
      <c r="Y13" s="7"/>
      <c r="Z13" s="18">
        <f t="shared" si="9"/>
        <v>1551.04</v>
      </c>
      <c r="AA13" s="18">
        <f t="shared" si="10"/>
        <v>4397.3599999999997</v>
      </c>
      <c r="AB13" s="18">
        <f t="shared" si="11"/>
        <v>127.13399999999999</v>
      </c>
    </row>
    <row r="14" spans="1:28" x14ac:dyDescent="0.35">
      <c r="A14" s="17">
        <v>2011</v>
      </c>
      <c r="B14" s="18">
        <f t="shared" si="0"/>
        <v>9607</v>
      </c>
      <c r="C14" s="18">
        <f t="shared" si="1"/>
        <v>21942</v>
      </c>
      <c r="D14" s="18">
        <f t="shared" si="2"/>
        <v>12773</v>
      </c>
      <c r="F14" s="44">
        <v>0.17</v>
      </c>
      <c r="G14" s="44">
        <v>0.19</v>
      </c>
      <c r="H14" s="44">
        <v>0.01</v>
      </c>
      <c r="I14" s="7"/>
      <c r="J14" s="44">
        <v>0.17</v>
      </c>
      <c r="K14" s="44">
        <v>0.19</v>
      </c>
      <c r="L14" s="44">
        <v>0.01</v>
      </c>
      <c r="M14" s="7"/>
      <c r="N14" s="44">
        <v>0.17</v>
      </c>
      <c r="O14" s="44">
        <v>0.19</v>
      </c>
      <c r="P14" s="44">
        <v>0.01</v>
      </c>
      <c r="R14" s="18">
        <f t="shared" si="3"/>
        <v>1633.19</v>
      </c>
      <c r="S14" s="18">
        <f t="shared" si="4"/>
        <v>4168.9800000000005</v>
      </c>
      <c r="T14" s="18">
        <f t="shared" si="5"/>
        <v>127.73</v>
      </c>
      <c r="U14" s="7"/>
      <c r="V14" s="18">
        <f t="shared" si="6"/>
        <v>1633.19</v>
      </c>
      <c r="W14" s="18">
        <f t="shared" si="7"/>
        <v>4168.9800000000005</v>
      </c>
      <c r="X14" s="18">
        <f t="shared" si="8"/>
        <v>127.73</v>
      </c>
      <c r="Y14" s="7"/>
      <c r="Z14" s="18">
        <f t="shared" si="9"/>
        <v>1633.19</v>
      </c>
      <c r="AA14" s="18">
        <f t="shared" si="10"/>
        <v>4168.9800000000005</v>
      </c>
      <c r="AB14" s="18">
        <f t="shared" si="11"/>
        <v>127.73</v>
      </c>
    </row>
    <row r="15" spans="1:28" x14ac:dyDescent="0.35">
      <c r="A15" s="17">
        <v>2012</v>
      </c>
      <c r="B15" s="18">
        <f t="shared" si="0"/>
        <v>10540</v>
      </c>
      <c r="C15" s="18">
        <f t="shared" si="1"/>
        <v>23259</v>
      </c>
      <c r="D15" s="18">
        <f t="shared" si="2"/>
        <v>12420</v>
      </c>
      <c r="F15" s="44">
        <v>0.19</v>
      </c>
      <c r="G15" s="44">
        <v>0.2</v>
      </c>
      <c r="H15" s="44">
        <v>0.01</v>
      </c>
      <c r="I15" s="7"/>
      <c r="J15" s="44">
        <v>0.19</v>
      </c>
      <c r="K15" s="44">
        <v>0.2</v>
      </c>
      <c r="L15" s="44">
        <v>0.01</v>
      </c>
      <c r="M15" s="7"/>
      <c r="N15" s="44">
        <v>0.19</v>
      </c>
      <c r="O15" s="44">
        <v>0.2</v>
      </c>
      <c r="P15" s="44">
        <v>0.01</v>
      </c>
      <c r="R15" s="18">
        <f t="shared" si="3"/>
        <v>2002.6000000000001</v>
      </c>
      <c r="S15" s="18">
        <f t="shared" si="4"/>
        <v>4651.8</v>
      </c>
      <c r="T15" s="18">
        <f t="shared" si="5"/>
        <v>124.2</v>
      </c>
      <c r="U15" s="7"/>
      <c r="V15" s="18">
        <f t="shared" si="6"/>
        <v>2002.6000000000001</v>
      </c>
      <c r="W15" s="18">
        <f t="shared" si="7"/>
        <v>4651.8</v>
      </c>
      <c r="X15" s="18">
        <f t="shared" si="8"/>
        <v>124.2</v>
      </c>
      <c r="Y15" s="7"/>
      <c r="Z15" s="18">
        <f t="shared" si="9"/>
        <v>2002.6000000000001</v>
      </c>
      <c r="AA15" s="18">
        <f t="shared" si="10"/>
        <v>4651.8</v>
      </c>
      <c r="AB15" s="18">
        <f t="shared" si="11"/>
        <v>124.2</v>
      </c>
    </row>
    <row r="16" spans="1:28" x14ac:dyDescent="0.35">
      <c r="A16" s="17">
        <v>2013</v>
      </c>
      <c r="B16" s="18">
        <f t="shared" si="0"/>
        <v>9934</v>
      </c>
      <c r="C16" s="18">
        <f t="shared" si="1"/>
        <v>21759</v>
      </c>
      <c r="D16" s="18">
        <f t="shared" si="2"/>
        <v>12588</v>
      </c>
      <c r="F16" s="44">
        <v>0.18</v>
      </c>
      <c r="G16" s="44">
        <v>0.21</v>
      </c>
      <c r="H16" s="44">
        <v>0.01</v>
      </c>
      <c r="I16" s="7"/>
      <c r="J16" s="44">
        <v>0.18</v>
      </c>
      <c r="K16" s="44">
        <v>0.21</v>
      </c>
      <c r="L16" s="44">
        <v>0.01</v>
      </c>
      <c r="M16" s="7"/>
      <c r="N16" s="44">
        <v>0.18</v>
      </c>
      <c r="O16" s="44">
        <v>0.21</v>
      </c>
      <c r="P16" s="44">
        <v>0.01</v>
      </c>
      <c r="R16" s="18">
        <f t="shared" si="3"/>
        <v>1788.12</v>
      </c>
      <c r="S16" s="18">
        <f t="shared" si="4"/>
        <v>4569.3899999999994</v>
      </c>
      <c r="T16" s="18">
        <f t="shared" si="5"/>
        <v>125.88000000000001</v>
      </c>
      <c r="U16" s="7"/>
      <c r="V16" s="18">
        <f t="shared" si="6"/>
        <v>1788.12</v>
      </c>
      <c r="W16" s="18">
        <f t="shared" si="7"/>
        <v>4569.3899999999994</v>
      </c>
      <c r="X16" s="18">
        <f t="shared" si="8"/>
        <v>125.88000000000001</v>
      </c>
      <c r="Y16" s="7"/>
      <c r="Z16" s="18">
        <f t="shared" si="9"/>
        <v>1788.12</v>
      </c>
      <c r="AA16" s="18">
        <f t="shared" si="10"/>
        <v>4569.3899999999994</v>
      </c>
      <c r="AB16" s="18">
        <f t="shared" si="11"/>
        <v>125.88000000000001</v>
      </c>
    </row>
    <row r="17" spans="1:28" x14ac:dyDescent="0.35">
      <c r="A17" s="17">
        <v>2014</v>
      </c>
      <c r="B17" s="18">
        <f t="shared" si="0"/>
        <v>10120</v>
      </c>
      <c r="C17" s="18">
        <f t="shared" si="1"/>
        <v>21500</v>
      </c>
      <c r="D17" s="18">
        <f t="shared" si="2"/>
        <v>12860</v>
      </c>
      <c r="F17" s="44">
        <v>0.16</v>
      </c>
      <c r="G17" s="44">
        <v>0.22</v>
      </c>
      <c r="H17" s="44">
        <v>8.9999999999999993E-3</v>
      </c>
      <c r="I17" s="7"/>
      <c r="J17" s="44">
        <v>0.16</v>
      </c>
      <c r="K17" s="44">
        <v>0.22</v>
      </c>
      <c r="L17" s="44">
        <v>8.9999999999999993E-3</v>
      </c>
      <c r="M17" s="7"/>
      <c r="N17" s="44">
        <v>0.16</v>
      </c>
      <c r="O17" s="44">
        <v>0.22</v>
      </c>
      <c r="P17" s="44">
        <v>8.9999999999999993E-3</v>
      </c>
      <c r="R17" s="18">
        <f t="shared" si="3"/>
        <v>1619.2</v>
      </c>
      <c r="S17" s="18">
        <f t="shared" si="4"/>
        <v>4730</v>
      </c>
      <c r="T17" s="18">
        <f t="shared" si="5"/>
        <v>115.74</v>
      </c>
      <c r="U17" s="7"/>
      <c r="V17" s="18">
        <f t="shared" si="6"/>
        <v>1619.2</v>
      </c>
      <c r="W17" s="18">
        <f t="shared" si="7"/>
        <v>4730</v>
      </c>
      <c r="X17" s="18">
        <f t="shared" si="8"/>
        <v>115.74</v>
      </c>
      <c r="Y17" s="7"/>
      <c r="Z17" s="18">
        <f t="shared" si="9"/>
        <v>1619.2</v>
      </c>
      <c r="AA17" s="18">
        <f t="shared" si="10"/>
        <v>4730</v>
      </c>
      <c r="AB17" s="18">
        <f t="shared" si="11"/>
        <v>115.74</v>
      </c>
    </row>
    <row r="18" spans="1:28" x14ac:dyDescent="0.35">
      <c r="A18" s="17">
        <v>2015</v>
      </c>
      <c r="B18" s="18">
        <f t="shared" si="0"/>
        <v>10213</v>
      </c>
      <c r="C18" s="18">
        <f t="shared" si="1"/>
        <v>19702</v>
      </c>
      <c r="D18" s="18">
        <f t="shared" si="2"/>
        <v>13605</v>
      </c>
      <c r="F18" s="44">
        <v>0.17</v>
      </c>
      <c r="G18" s="44">
        <v>0.23</v>
      </c>
      <c r="H18" s="44">
        <v>8.0000000000000002E-3</v>
      </c>
      <c r="I18" s="7"/>
      <c r="J18" s="44">
        <v>0.17</v>
      </c>
      <c r="K18" s="44">
        <v>0.23</v>
      </c>
      <c r="L18" s="44">
        <v>8.0000000000000002E-3</v>
      </c>
      <c r="M18" s="7"/>
      <c r="N18" s="44">
        <v>0.17</v>
      </c>
      <c r="O18" s="44">
        <v>0.23</v>
      </c>
      <c r="P18" s="44">
        <v>8.0000000000000002E-3</v>
      </c>
      <c r="R18" s="18">
        <f t="shared" si="3"/>
        <v>1736.21</v>
      </c>
      <c r="S18" s="18">
        <f t="shared" si="4"/>
        <v>4531.46</v>
      </c>
      <c r="T18" s="18">
        <f t="shared" si="5"/>
        <v>108.84</v>
      </c>
      <c r="U18" s="7"/>
      <c r="V18" s="18">
        <f t="shared" si="6"/>
        <v>1736.21</v>
      </c>
      <c r="W18" s="18">
        <f t="shared" si="7"/>
        <v>4531.46</v>
      </c>
      <c r="X18" s="18">
        <f t="shared" si="8"/>
        <v>108.84</v>
      </c>
      <c r="Y18" s="7"/>
      <c r="Z18" s="18">
        <f t="shared" si="9"/>
        <v>1736.21</v>
      </c>
      <c r="AA18" s="18">
        <f t="shared" si="10"/>
        <v>4531.46</v>
      </c>
      <c r="AB18" s="18">
        <f t="shared" si="11"/>
        <v>108.84</v>
      </c>
    </row>
    <row r="19" spans="1:28" x14ac:dyDescent="0.35">
      <c r="A19" s="17">
        <v>2016</v>
      </c>
      <c r="B19" s="18">
        <f t="shared" si="0"/>
        <v>9458</v>
      </c>
      <c r="C19" s="18">
        <f t="shared" si="1"/>
        <v>20243</v>
      </c>
      <c r="D19" s="18">
        <f t="shared" si="2"/>
        <v>13827</v>
      </c>
      <c r="F19" s="44">
        <v>0.18</v>
      </c>
      <c r="G19" s="44">
        <v>0.22</v>
      </c>
      <c r="H19" s="44">
        <v>8.0000000000000002E-3</v>
      </c>
      <c r="I19" s="7"/>
      <c r="J19" s="44">
        <v>0.18</v>
      </c>
      <c r="K19" s="44">
        <v>0.22</v>
      </c>
      <c r="L19" s="44">
        <v>8.0000000000000002E-3</v>
      </c>
      <c r="M19" s="7"/>
      <c r="N19" s="44">
        <v>0.18</v>
      </c>
      <c r="O19" s="44">
        <v>0.22</v>
      </c>
      <c r="P19" s="44">
        <v>8.0000000000000002E-3</v>
      </c>
      <c r="R19" s="18">
        <f t="shared" si="3"/>
        <v>1702.4399999999998</v>
      </c>
      <c r="S19" s="18">
        <f t="shared" si="4"/>
        <v>4453.46</v>
      </c>
      <c r="T19" s="18">
        <f t="shared" si="5"/>
        <v>110.616</v>
      </c>
      <c r="U19" s="7"/>
      <c r="V19" s="18">
        <f t="shared" si="6"/>
        <v>1702.4399999999998</v>
      </c>
      <c r="W19" s="18">
        <f t="shared" si="7"/>
        <v>4453.46</v>
      </c>
      <c r="X19" s="18">
        <f t="shared" si="8"/>
        <v>110.616</v>
      </c>
      <c r="Y19" s="7"/>
      <c r="Z19" s="18">
        <f t="shared" si="9"/>
        <v>1702.4399999999998</v>
      </c>
      <c r="AA19" s="18">
        <f t="shared" si="10"/>
        <v>4453.46</v>
      </c>
      <c r="AB19" s="18">
        <f t="shared" si="11"/>
        <v>110.616</v>
      </c>
    </row>
    <row r="20" spans="1:28" x14ac:dyDescent="0.35">
      <c r="A20" s="17">
        <v>2017</v>
      </c>
      <c r="B20" s="18">
        <f t="shared" si="0"/>
        <v>9971</v>
      </c>
      <c r="C20" s="18">
        <f t="shared" si="1"/>
        <v>20994</v>
      </c>
      <c r="D20" s="18">
        <f t="shared" si="2"/>
        <v>14430</v>
      </c>
      <c r="F20" s="44">
        <v>0.18</v>
      </c>
      <c r="G20" s="44">
        <v>0.21</v>
      </c>
      <c r="H20" s="44">
        <v>7.0000000000000001E-3</v>
      </c>
      <c r="I20" s="7"/>
      <c r="J20" s="44">
        <v>0.18</v>
      </c>
      <c r="K20" s="44">
        <v>0.21</v>
      </c>
      <c r="L20" s="44">
        <v>7.0000000000000001E-3</v>
      </c>
      <c r="M20" s="7"/>
      <c r="N20" s="44">
        <v>0.18</v>
      </c>
      <c r="O20" s="44">
        <v>0.21</v>
      </c>
      <c r="P20" s="44">
        <v>7.0000000000000001E-3</v>
      </c>
      <c r="R20" s="18">
        <f t="shared" si="3"/>
        <v>1794.78</v>
      </c>
      <c r="S20" s="18">
        <f t="shared" si="4"/>
        <v>4408.74</v>
      </c>
      <c r="T20" s="18">
        <f t="shared" si="5"/>
        <v>101.01</v>
      </c>
      <c r="U20" s="7"/>
      <c r="V20" s="18">
        <f t="shared" si="6"/>
        <v>1794.78</v>
      </c>
      <c r="W20" s="18">
        <f t="shared" si="7"/>
        <v>4408.74</v>
      </c>
      <c r="X20" s="18">
        <f t="shared" si="8"/>
        <v>101.01</v>
      </c>
      <c r="Y20" s="7"/>
      <c r="Z20" s="18">
        <f t="shared" si="9"/>
        <v>1794.78</v>
      </c>
      <c r="AA20" s="18">
        <f t="shared" si="10"/>
        <v>4408.74</v>
      </c>
      <c r="AB20" s="18">
        <f t="shared" si="11"/>
        <v>101.01</v>
      </c>
    </row>
    <row r="21" spans="1:28" x14ac:dyDescent="0.35">
      <c r="A21" s="17">
        <v>2018</v>
      </c>
      <c r="B21" s="18">
        <f t="shared" si="0"/>
        <v>11301</v>
      </c>
      <c r="C21" s="18">
        <f t="shared" si="1"/>
        <v>21199</v>
      </c>
      <c r="D21" s="18">
        <f t="shared" si="2"/>
        <v>15054</v>
      </c>
      <c r="F21" s="44">
        <v>0.16</v>
      </c>
      <c r="G21" s="44">
        <v>0.21</v>
      </c>
      <c r="H21" s="44">
        <v>7.0000000000000001E-3</v>
      </c>
      <c r="I21" s="7"/>
      <c r="J21" s="44">
        <v>0.16</v>
      </c>
      <c r="K21" s="44">
        <v>0.21</v>
      </c>
      <c r="L21" s="44">
        <v>7.0000000000000001E-3</v>
      </c>
      <c r="M21" s="7"/>
      <c r="N21" s="44">
        <v>0.16</v>
      </c>
      <c r="O21" s="44">
        <v>0.21</v>
      </c>
      <c r="P21" s="44">
        <v>7.0000000000000001E-3</v>
      </c>
      <c r="R21" s="18">
        <f t="shared" si="3"/>
        <v>1808.16</v>
      </c>
      <c r="S21" s="18">
        <f t="shared" si="4"/>
        <v>4451.79</v>
      </c>
      <c r="T21" s="18">
        <f t="shared" si="5"/>
        <v>105.378</v>
      </c>
      <c r="U21" s="7"/>
      <c r="V21" s="18">
        <f t="shared" si="6"/>
        <v>1808.16</v>
      </c>
      <c r="W21" s="18">
        <f t="shared" si="7"/>
        <v>4451.79</v>
      </c>
      <c r="X21" s="18">
        <f t="shared" si="8"/>
        <v>105.378</v>
      </c>
      <c r="Y21" s="7"/>
      <c r="Z21" s="18">
        <f t="shared" si="9"/>
        <v>1808.16</v>
      </c>
      <c r="AA21" s="18">
        <f t="shared" si="10"/>
        <v>4451.79</v>
      </c>
      <c r="AB21" s="18">
        <f t="shared" si="11"/>
        <v>105.378</v>
      </c>
    </row>
    <row r="22" spans="1:28" x14ac:dyDescent="0.35">
      <c r="A22" s="17">
        <v>2019</v>
      </c>
      <c r="B22" s="18">
        <f t="shared" si="0"/>
        <v>10647</v>
      </c>
      <c r="C22" s="18">
        <f t="shared" si="1"/>
        <v>20428</v>
      </c>
      <c r="D22" s="18">
        <f t="shared" si="2"/>
        <v>14993</v>
      </c>
      <c r="F22" s="44">
        <v>0.17</v>
      </c>
      <c r="G22" s="44">
        <v>0.22</v>
      </c>
      <c r="H22" s="44">
        <v>7.0000000000000001E-3</v>
      </c>
      <c r="I22" s="7"/>
      <c r="J22" s="44">
        <v>0.17</v>
      </c>
      <c r="K22" s="44">
        <v>0.22</v>
      </c>
      <c r="L22" s="44">
        <v>7.0000000000000001E-3</v>
      </c>
      <c r="M22" s="7"/>
      <c r="N22" s="44">
        <v>0.17</v>
      </c>
      <c r="O22" s="44">
        <v>0.22</v>
      </c>
      <c r="P22" s="44">
        <v>7.0000000000000001E-3</v>
      </c>
      <c r="R22" s="18">
        <f t="shared" si="3"/>
        <v>1809.9900000000002</v>
      </c>
      <c r="S22" s="18">
        <f t="shared" si="4"/>
        <v>4494.16</v>
      </c>
      <c r="T22" s="18">
        <f t="shared" si="5"/>
        <v>104.95100000000001</v>
      </c>
      <c r="U22" s="7"/>
      <c r="V22" s="18">
        <f t="shared" si="6"/>
        <v>1809.9900000000002</v>
      </c>
      <c r="W22" s="18">
        <f t="shared" si="7"/>
        <v>4494.16</v>
      </c>
      <c r="X22" s="18">
        <f t="shared" si="8"/>
        <v>104.95100000000001</v>
      </c>
      <c r="Y22" s="7"/>
      <c r="Z22" s="18">
        <f t="shared" si="9"/>
        <v>1809.9900000000002</v>
      </c>
      <c r="AA22" s="18">
        <f t="shared" si="10"/>
        <v>4494.16</v>
      </c>
      <c r="AB22" s="18">
        <f t="shared" si="11"/>
        <v>104.95100000000001</v>
      </c>
    </row>
    <row r="23" spans="1:28" x14ac:dyDescent="0.35">
      <c r="A23" s="17">
        <v>2020</v>
      </c>
      <c r="B23" s="18">
        <f t="shared" si="0"/>
        <v>11004</v>
      </c>
      <c r="C23" s="18">
        <f t="shared" si="1"/>
        <v>19383</v>
      </c>
      <c r="D23" s="18">
        <f t="shared" si="2"/>
        <v>13078</v>
      </c>
      <c r="F23" s="44">
        <v>0.17</v>
      </c>
      <c r="G23" s="44">
        <v>0.22</v>
      </c>
      <c r="H23" s="44">
        <v>7.0000000000000001E-3</v>
      </c>
      <c r="I23" s="7"/>
      <c r="J23" s="44">
        <v>0.17</v>
      </c>
      <c r="K23" s="44">
        <v>0.22</v>
      </c>
      <c r="L23" s="44">
        <v>7.0000000000000001E-3</v>
      </c>
      <c r="M23" s="7"/>
      <c r="N23" s="44">
        <v>0.17</v>
      </c>
      <c r="O23" s="44">
        <v>0.22</v>
      </c>
      <c r="P23" s="44">
        <v>7.0000000000000001E-3</v>
      </c>
      <c r="R23" s="18">
        <f t="shared" si="3"/>
        <v>1870.68</v>
      </c>
      <c r="S23" s="18">
        <f t="shared" si="4"/>
        <v>4264.26</v>
      </c>
      <c r="T23" s="18">
        <f t="shared" si="5"/>
        <v>91.546000000000006</v>
      </c>
      <c r="U23" s="7"/>
      <c r="V23" s="18">
        <f t="shared" si="6"/>
        <v>1870.68</v>
      </c>
      <c r="W23" s="18">
        <f t="shared" si="7"/>
        <v>4264.26</v>
      </c>
      <c r="X23" s="18">
        <f t="shared" si="8"/>
        <v>91.546000000000006</v>
      </c>
      <c r="Y23" s="7"/>
      <c r="Z23" s="18">
        <f t="shared" si="9"/>
        <v>1870.68</v>
      </c>
      <c r="AA23" s="18">
        <f t="shared" si="10"/>
        <v>4264.26</v>
      </c>
      <c r="AB23" s="18">
        <f t="shared" si="11"/>
        <v>91.546000000000006</v>
      </c>
    </row>
    <row r="24" spans="1:28" x14ac:dyDescent="0.35">
      <c r="A24" s="17">
        <v>2021</v>
      </c>
      <c r="B24" s="18">
        <f t="shared" si="0"/>
        <v>11445</v>
      </c>
      <c r="C24" s="18">
        <f t="shared" si="1"/>
        <v>20939</v>
      </c>
      <c r="D24" s="18">
        <f t="shared" si="2"/>
        <v>13783</v>
      </c>
      <c r="F24" s="44">
        <v>0.17</v>
      </c>
      <c r="G24" s="44">
        <v>0.21</v>
      </c>
      <c r="H24" s="44">
        <v>7.0000000000000001E-3</v>
      </c>
      <c r="I24" s="7"/>
      <c r="J24" s="44">
        <v>0.17</v>
      </c>
      <c r="K24" s="44">
        <v>0.21</v>
      </c>
      <c r="L24" s="44">
        <v>7.0000000000000001E-3</v>
      </c>
      <c r="M24" s="7"/>
      <c r="N24" s="44">
        <v>0.17</v>
      </c>
      <c r="O24" s="44">
        <v>0.21</v>
      </c>
      <c r="P24" s="44">
        <v>7.0000000000000001E-3</v>
      </c>
      <c r="R24" s="18">
        <f t="shared" si="3"/>
        <v>1945.65</v>
      </c>
      <c r="S24" s="18">
        <f t="shared" si="4"/>
        <v>4397.1899999999996</v>
      </c>
      <c r="T24" s="18">
        <f t="shared" si="5"/>
        <v>96.481000000000009</v>
      </c>
      <c r="U24" s="7"/>
      <c r="V24" s="18">
        <f t="shared" si="6"/>
        <v>1945.65</v>
      </c>
      <c r="W24" s="18">
        <f t="shared" si="7"/>
        <v>4397.1899999999996</v>
      </c>
      <c r="X24" s="18">
        <f t="shared" si="8"/>
        <v>96.481000000000009</v>
      </c>
      <c r="Y24" s="7"/>
      <c r="Z24" s="18">
        <f t="shared" si="9"/>
        <v>1945.65</v>
      </c>
      <c r="AA24" s="18">
        <f t="shared" si="10"/>
        <v>4397.1899999999996</v>
      </c>
      <c r="AB24" s="18">
        <f t="shared" si="11"/>
        <v>96.481000000000009</v>
      </c>
    </row>
    <row r="25" spans="1:28" x14ac:dyDescent="0.35">
      <c r="A25" s="17">
        <v>2022</v>
      </c>
      <c r="B25" s="18">
        <f t="shared" si="0"/>
        <v>11420</v>
      </c>
      <c r="C25" s="18">
        <f t="shared" si="1"/>
        <v>19589</v>
      </c>
      <c r="D25" s="18">
        <f t="shared" si="2"/>
        <v>13860</v>
      </c>
      <c r="F25" s="44">
        <v>0.16</v>
      </c>
      <c r="G25" s="44">
        <v>0.22</v>
      </c>
      <c r="H25" s="44">
        <v>7.0000000000000001E-3</v>
      </c>
      <c r="I25" s="7"/>
      <c r="J25" s="44">
        <v>0.16</v>
      </c>
      <c r="K25" s="44">
        <v>0.22</v>
      </c>
      <c r="L25" s="44">
        <v>7.0000000000000001E-3</v>
      </c>
      <c r="M25" s="7"/>
      <c r="N25" s="44">
        <v>0.16</v>
      </c>
      <c r="O25" s="44">
        <v>0.22</v>
      </c>
      <c r="P25" s="44">
        <v>7.0000000000000001E-3</v>
      </c>
      <c r="R25" s="18">
        <f t="shared" si="3"/>
        <v>1827.2</v>
      </c>
      <c r="S25" s="18">
        <f t="shared" si="4"/>
        <v>4309.58</v>
      </c>
      <c r="T25" s="18">
        <f t="shared" si="5"/>
        <v>97.02</v>
      </c>
      <c r="U25" s="7"/>
      <c r="V25" s="18">
        <f t="shared" si="6"/>
        <v>1827.2</v>
      </c>
      <c r="W25" s="18">
        <f t="shared" si="7"/>
        <v>4309.58</v>
      </c>
      <c r="X25" s="18">
        <f t="shared" si="8"/>
        <v>97.02</v>
      </c>
      <c r="Y25" s="7"/>
      <c r="Z25" s="18">
        <f t="shared" si="9"/>
        <v>1827.2</v>
      </c>
      <c r="AA25" s="18">
        <f t="shared" si="10"/>
        <v>4309.58</v>
      </c>
      <c r="AB25" s="18">
        <f t="shared" si="11"/>
        <v>97.02</v>
      </c>
    </row>
    <row r="26" spans="1:28" x14ac:dyDescent="0.35">
      <c r="A26" s="17">
        <v>2023</v>
      </c>
      <c r="B26" s="18">
        <f t="shared" si="0"/>
        <v>11700</v>
      </c>
      <c r="C26" s="18">
        <f t="shared" si="1"/>
        <v>18750</v>
      </c>
      <c r="D26" s="18">
        <f t="shared" si="2"/>
        <v>13779</v>
      </c>
      <c r="F26" s="44">
        <v>0.15</v>
      </c>
      <c r="G26" s="44">
        <v>0.23</v>
      </c>
      <c r="H26" s="44">
        <v>8.0000000000000002E-3</v>
      </c>
      <c r="I26" s="7"/>
      <c r="J26" s="44">
        <v>0.15</v>
      </c>
      <c r="K26" s="44">
        <v>0.23</v>
      </c>
      <c r="L26" s="44">
        <v>8.0000000000000002E-3</v>
      </c>
      <c r="M26" s="7"/>
      <c r="N26" s="44">
        <v>0.15</v>
      </c>
      <c r="O26" s="44">
        <v>0.23</v>
      </c>
      <c r="P26" s="44">
        <v>8.0000000000000002E-3</v>
      </c>
      <c r="R26" s="18">
        <f t="shared" si="3"/>
        <v>1755</v>
      </c>
      <c r="S26" s="18">
        <f t="shared" si="4"/>
        <v>4312.5</v>
      </c>
      <c r="T26" s="18">
        <f t="shared" si="5"/>
        <v>110.232</v>
      </c>
      <c r="U26" s="7"/>
      <c r="V26" s="18">
        <f t="shared" si="6"/>
        <v>1755</v>
      </c>
      <c r="W26" s="18">
        <f t="shared" si="7"/>
        <v>4312.5</v>
      </c>
      <c r="X26" s="18">
        <f t="shared" si="8"/>
        <v>110.232</v>
      </c>
      <c r="Y26" s="7"/>
      <c r="Z26" s="18">
        <f t="shared" si="9"/>
        <v>1755</v>
      </c>
      <c r="AA26" s="18">
        <f t="shared" si="10"/>
        <v>4312.5</v>
      </c>
      <c r="AB26" s="18">
        <f t="shared" si="11"/>
        <v>110.232</v>
      </c>
    </row>
    <row r="27" spans="1:28" x14ac:dyDescent="0.35">
      <c r="A27" s="17">
        <v>2024</v>
      </c>
      <c r="B27" s="18">
        <f t="shared" si="0"/>
        <v>11598</v>
      </c>
      <c r="C27" s="18">
        <f t="shared" si="1"/>
        <v>19027</v>
      </c>
      <c r="D27" s="18">
        <f t="shared" si="2"/>
        <v>12970</v>
      </c>
      <c r="F27" s="21">
        <f>'LAT Scenario projections '!D5</f>
        <v>0.16714285714285715</v>
      </c>
      <c r="G27" s="21">
        <f>'LAT Scenario projections '!C5</f>
        <v>0.25428571428571428</v>
      </c>
      <c r="H27" s="21">
        <f>'LAT Scenario projections '!E5</f>
        <v>7.7142857142857135E-3</v>
      </c>
      <c r="I27" s="7"/>
      <c r="J27" s="21">
        <f>'LAT Scenario projections '!K5</f>
        <v>0.16600000000000001</v>
      </c>
      <c r="K27" s="21">
        <f>'LAT Scenario projections '!J5</f>
        <v>0.24941176470588236</v>
      </c>
      <c r="L27" s="21">
        <f>'LAT Scenario projections '!L5</f>
        <v>1.0999999999999999E-2</v>
      </c>
      <c r="M27" s="7"/>
      <c r="N27" s="21">
        <f>'LAT Scenario projections '!R5</f>
        <v>0.16600000000000001</v>
      </c>
      <c r="O27" s="21">
        <f>'LAT Scenario projections '!Q5</f>
        <v>0.24941176470588236</v>
      </c>
      <c r="P27" s="21">
        <f>'LAT Scenario projections '!S5</f>
        <v>1.0999999999999999E-2</v>
      </c>
      <c r="R27" s="18">
        <f t="shared" si="3"/>
        <v>1938.5228571428572</v>
      </c>
      <c r="S27" s="18">
        <f t="shared" si="4"/>
        <v>4838.2942857142853</v>
      </c>
      <c r="T27" s="18">
        <f t="shared" si="5"/>
        <v>100.0542857142857</v>
      </c>
      <c r="U27" s="7"/>
      <c r="V27" s="18">
        <f t="shared" si="6"/>
        <v>1925.268</v>
      </c>
      <c r="W27" s="18">
        <f t="shared" si="7"/>
        <v>4745.5576470588239</v>
      </c>
      <c r="X27" s="18">
        <f t="shared" si="8"/>
        <v>142.66999999999999</v>
      </c>
      <c r="Y27" s="7"/>
      <c r="Z27" s="18">
        <f t="shared" si="9"/>
        <v>1925.268</v>
      </c>
      <c r="AA27" s="18">
        <f t="shared" si="10"/>
        <v>4745.5576470588239</v>
      </c>
      <c r="AB27" s="18">
        <f t="shared" si="11"/>
        <v>142.66999999999999</v>
      </c>
    </row>
    <row r="28" spans="1:28" x14ac:dyDescent="0.35">
      <c r="A28" s="17">
        <v>2025</v>
      </c>
      <c r="B28" s="18">
        <f t="shared" si="0"/>
        <v>12048.672935108019</v>
      </c>
      <c r="C28" s="18">
        <f t="shared" si="1"/>
        <v>18240.805470007679</v>
      </c>
      <c r="D28" s="18">
        <f t="shared" si="2"/>
        <v>14061.775663925129</v>
      </c>
      <c r="F28" s="21">
        <f>'LAT Scenario projections '!D6</f>
        <v>0.1842857142857143</v>
      </c>
      <c r="G28" s="21">
        <f>'LAT Scenario projections '!C6</f>
        <v>0.27857142857142858</v>
      </c>
      <c r="H28" s="21">
        <f>'LAT Scenario projections '!E6</f>
        <v>3.2000000000000001E-2</v>
      </c>
      <c r="I28" s="7"/>
      <c r="J28" s="21">
        <f>'LAT Scenario projections '!K6</f>
        <v>0.18562500000000001</v>
      </c>
      <c r="K28" s="21">
        <f>'LAT Scenario projections '!J6</f>
        <v>0.26882352941176474</v>
      </c>
      <c r="L28" s="21">
        <f>'LAT Scenario projections '!L6</f>
        <v>2.9062499999999998E-2</v>
      </c>
      <c r="M28" s="7"/>
      <c r="N28" s="21">
        <f>'LAT Scenario projections '!R6</f>
        <v>0.17884615384615385</v>
      </c>
      <c r="O28" s="21">
        <f>'LAT Scenario projections '!Q6</f>
        <v>0.25922657952069716</v>
      </c>
      <c r="P28" s="21">
        <f>'LAT Scenario projections '!S6</f>
        <v>2.5000000000000001E-2</v>
      </c>
      <c r="R28" s="18">
        <f t="shared" si="3"/>
        <v>2220.3982980413352</v>
      </c>
      <c r="S28" s="18">
        <f t="shared" si="4"/>
        <v>5081.3672380735679</v>
      </c>
      <c r="T28" s="18">
        <f t="shared" si="5"/>
        <v>449.97682124560413</v>
      </c>
      <c r="U28" s="7"/>
      <c r="V28" s="18">
        <f t="shared" si="6"/>
        <v>2236.5349135794263</v>
      </c>
      <c r="W28" s="18">
        <f t="shared" si="7"/>
        <v>4903.5577057608889</v>
      </c>
      <c r="X28" s="18">
        <f t="shared" si="8"/>
        <v>408.67035523282402</v>
      </c>
      <c r="Y28" s="7"/>
      <c r="Z28" s="18">
        <f t="shared" si="9"/>
        <v>2154.858813394319</v>
      </c>
      <c r="AA28" s="18">
        <f t="shared" si="10"/>
        <v>4728.5016096925137</v>
      </c>
      <c r="AB28" s="18">
        <f t="shared" si="11"/>
        <v>351.54439159812824</v>
      </c>
    </row>
    <row r="29" spans="1:28" x14ac:dyDescent="0.35">
      <c r="A29" s="17">
        <v>2026</v>
      </c>
      <c r="B29" s="18">
        <f t="shared" si="0"/>
        <v>12157.899747229339</v>
      </c>
      <c r="C29" s="18">
        <f t="shared" si="1"/>
        <v>17889.905531149408</v>
      </c>
      <c r="D29" s="18">
        <f t="shared" si="2"/>
        <v>14125.182351577423</v>
      </c>
      <c r="F29" s="21">
        <f>'LAT Scenario projections '!D7</f>
        <v>0.20142857142857146</v>
      </c>
      <c r="G29" s="21">
        <f>'LAT Scenario projections '!C7</f>
        <v>0.30285714285714288</v>
      </c>
      <c r="H29" s="21">
        <f>'LAT Scenario projections '!E7</f>
        <v>5.6285714285714286E-2</v>
      </c>
      <c r="I29" s="7"/>
      <c r="J29" s="21">
        <f>'LAT Scenario projections '!K7</f>
        <v>0.20525000000000002</v>
      </c>
      <c r="K29" s="21">
        <f>'LAT Scenario projections '!J7</f>
        <v>0.28823529411764709</v>
      </c>
      <c r="L29" s="21">
        <f>'LAT Scenario projections '!L7</f>
        <v>4.7125E-2</v>
      </c>
      <c r="M29" s="7"/>
      <c r="N29" s="21">
        <f>'LAT Scenario projections '!R7</f>
        <v>0.19169230769230769</v>
      </c>
      <c r="O29" s="21">
        <f>'LAT Scenario projections '!Q7</f>
        <v>0.269041394335512</v>
      </c>
      <c r="P29" s="21">
        <f>'LAT Scenario projections '!S7</f>
        <v>3.9E-2</v>
      </c>
      <c r="R29" s="18">
        <f t="shared" si="3"/>
        <v>2448.948377656196</v>
      </c>
      <c r="S29" s="18">
        <f t="shared" si="4"/>
        <v>5418.0856751481069</v>
      </c>
      <c r="T29" s="18">
        <f t="shared" si="5"/>
        <v>795.04597807450068</v>
      </c>
      <c r="U29" s="7"/>
      <c r="V29" s="18">
        <f t="shared" si="6"/>
        <v>2495.4089231188223</v>
      </c>
      <c r="W29" s="18">
        <f t="shared" si="7"/>
        <v>5156.5021825077711</v>
      </c>
      <c r="X29" s="18">
        <f t="shared" si="8"/>
        <v>665.64921831808601</v>
      </c>
      <c r="Y29" s="7"/>
      <c r="Z29" s="18">
        <f t="shared" si="9"/>
        <v>2330.5758592381162</v>
      </c>
      <c r="AA29" s="18">
        <f t="shared" si="10"/>
        <v>4813.1251286310253</v>
      </c>
      <c r="AB29" s="18">
        <f t="shared" si="11"/>
        <v>550.88211171151954</v>
      </c>
    </row>
    <row r="30" spans="1:28" x14ac:dyDescent="0.35">
      <c r="A30" s="17">
        <v>2027</v>
      </c>
      <c r="B30" s="18">
        <f t="shared" si="0"/>
        <v>12262.948505474909</v>
      </c>
      <c r="C30" s="18">
        <f t="shared" si="1"/>
        <v>17538.364303719136</v>
      </c>
      <c r="D30" s="18">
        <f t="shared" si="2"/>
        <v>14182.897537431789</v>
      </c>
      <c r="F30" s="21">
        <f>'LAT Scenario projections '!D8</f>
        <v>0.21857142857142861</v>
      </c>
      <c r="G30" s="21">
        <f>'LAT Scenario projections '!C8</f>
        <v>0.32714285714285718</v>
      </c>
      <c r="H30" s="21">
        <f>'LAT Scenario projections '!E8</f>
        <v>8.0571428571428572E-2</v>
      </c>
      <c r="I30" s="7"/>
      <c r="J30" s="21">
        <f>'LAT Scenario projections '!K8</f>
        <v>0.22487500000000002</v>
      </c>
      <c r="K30" s="21">
        <f>'LAT Scenario projections '!J8</f>
        <v>0.30764705882352944</v>
      </c>
      <c r="L30" s="21">
        <f>'LAT Scenario projections '!L8</f>
        <v>6.5187499999999995E-2</v>
      </c>
      <c r="M30" s="7"/>
      <c r="N30" s="21">
        <f>'LAT Scenario projections '!R8</f>
        <v>0.20453846153846153</v>
      </c>
      <c r="O30" s="21">
        <f>'LAT Scenario projections '!Q8</f>
        <v>0.27885620915032683</v>
      </c>
      <c r="P30" s="21">
        <f>'LAT Scenario projections '!S8</f>
        <v>5.2999999999999999E-2</v>
      </c>
      <c r="R30" s="18">
        <f t="shared" si="3"/>
        <v>2680.3301733395165</v>
      </c>
      <c r="S30" s="18">
        <f t="shared" si="4"/>
        <v>5737.5506079309753</v>
      </c>
      <c r="T30" s="18">
        <f t="shared" si="5"/>
        <v>1142.7363158730755</v>
      </c>
      <c r="U30" s="7"/>
      <c r="V30" s="18">
        <f t="shared" si="6"/>
        <v>2757.6305451686703</v>
      </c>
      <c r="W30" s="18">
        <f t="shared" si="7"/>
        <v>5395.6261946147697</v>
      </c>
      <c r="X30" s="18">
        <f t="shared" si="8"/>
        <v>924.54763322133465</v>
      </c>
      <c r="Y30" s="7"/>
      <c r="Z30" s="18">
        <f t="shared" si="9"/>
        <v>2508.2446212352143</v>
      </c>
      <c r="AA30" s="18">
        <f t="shared" si="10"/>
        <v>4890.6817844325296</v>
      </c>
      <c r="AB30" s="18">
        <f t="shared" si="11"/>
        <v>751.69356948388474</v>
      </c>
    </row>
    <row r="31" spans="1:28" x14ac:dyDescent="0.35">
      <c r="A31" s="17">
        <v>2028</v>
      </c>
      <c r="B31" s="18">
        <f t="shared" si="0"/>
        <v>12362.059177504832</v>
      </c>
      <c r="C31" s="18">
        <f t="shared" si="1"/>
        <v>17184.214836463321</v>
      </c>
      <c r="D31" s="18">
        <f t="shared" si="2"/>
        <v>14232.966746034601</v>
      </c>
      <c r="F31" s="21">
        <f>'LAT Scenario projections '!D9</f>
        <v>0.23571428571428577</v>
      </c>
      <c r="G31" s="21">
        <f>'LAT Scenario projections '!C9</f>
        <v>0.35142857142857148</v>
      </c>
      <c r="H31" s="21">
        <f>'LAT Scenario projections '!E9</f>
        <v>0.10485714285714286</v>
      </c>
      <c r="I31" s="7"/>
      <c r="J31" s="21">
        <f>'LAT Scenario projections '!K9</f>
        <v>0.24450000000000002</v>
      </c>
      <c r="K31" s="21">
        <f>'LAT Scenario projections '!J9</f>
        <v>0.32705882352941179</v>
      </c>
      <c r="L31" s="21">
        <f>'LAT Scenario projections '!L9</f>
        <v>8.3249999999999991E-2</v>
      </c>
      <c r="M31" s="7"/>
      <c r="N31" s="21">
        <f>'LAT Scenario projections '!R9</f>
        <v>0.21738461538461537</v>
      </c>
      <c r="O31" s="21">
        <f>'LAT Scenario projections '!Q9</f>
        <v>0.28867102396514166</v>
      </c>
      <c r="P31" s="21">
        <f>'LAT Scenario projections '!S9</f>
        <v>6.7000000000000004E-2</v>
      </c>
      <c r="R31" s="18">
        <f t="shared" si="3"/>
        <v>2913.9139489832824</v>
      </c>
      <c r="S31" s="18">
        <f t="shared" si="4"/>
        <v>6039.0240710999678</v>
      </c>
      <c r="T31" s="18">
        <f t="shared" si="5"/>
        <v>1492.4282273699139</v>
      </c>
      <c r="U31" s="7"/>
      <c r="V31" s="18">
        <f t="shared" si="6"/>
        <v>3022.5234688999317</v>
      </c>
      <c r="W31" s="18">
        <f t="shared" si="7"/>
        <v>5620.2490876903576</v>
      </c>
      <c r="X31" s="18">
        <f t="shared" si="8"/>
        <v>1184.8944816073804</v>
      </c>
      <c r="Y31" s="7"/>
      <c r="Z31" s="18">
        <f t="shared" si="9"/>
        <v>2687.3214796637426</v>
      </c>
      <c r="AA31" s="18">
        <f t="shared" si="10"/>
        <v>4960.5848928788464</v>
      </c>
      <c r="AB31" s="18">
        <f t="shared" si="11"/>
        <v>953.60877198431831</v>
      </c>
    </row>
    <row r="32" spans="1:28" x14ac:dyDescent="0.35">
      <c r="A32" s="17">
        <v>2029</v>
      </c>
      <c r="B32" s="18">
        <f t="shared" si="0"/>
        <v>12462.552526905225</v>
      </c>
      <c r="C32" s="18">
        <f t="shared" si="1"/>
        <v>16838.00251815865</v>
      </c>
      <c r="D32" s="18">
        <f t="shared" si="2"/>
        <v>14283.879369219307</v>
      </c>
      <c r="F32" s="21">
        <f>'LAT Scenario projections '!D10</f>
        <v>0.25285714285714289</v>
      </c>
      <c r="G32" s="21">
        <f>'LAT Scenario projections '!C10</f>
        <v>0.37571428571428578</v>
      </c>
      <c r="H32" s="21">
        <f>'LAT Scenario projections '!E10</f>
        <v>0.12914285714285714</v>
      </c>
      <c r="I32" s="7"/>
      <c r="J32" s="21">
        <f>'LAT Scenario projections '!K10</f>
        <v>0.264125</v>
      </c>
      <c r="K32" s="21">
        <f>'LAT Scenario projections '!J10</f>
        <v>0.34647058823529414</v>
      </c>
      <c r="L32" s="21">
        <f>'LAT Scenario projections '!L10</f>
        <v>0.10131249999999999</v>
      </c>
      <c r="M32" s="7"/>
      <c r="N32" s="21">
        <f>'LAT Scenario projections '!R10</f>
        <v>0.23023076923076921</v>
      </c>
      <c r="O32" s="21">
        <f>'LAT Scenario projections '!Q10</f>
        <v>0.29848583877995649</v>
      </c>
      <c r="P32" s="21">
        <f>'LAT Scenario projections '!S10</f>
        <v>8.1000000000000003E-2</v>
      </c>
      <c r="R32" s="18">
        <f t="shared" si="3"/>
        <v>3151.2454246603215</v>
      </c>
      <c r="S32" s="18">
        <f t="shared" si="4"/>
        <v>6326.2780889653222</v>
      </c>
      <c r="T32" s="18">
        <f t="shared" si="5"/>
        <v>1844.6609928248934</v>
      </c>
      <c r="U32" s="7"/>
      <c r="V32" s="18">
        <f t="shared" si="6"/>
        <v>3291.6716861688424</v>
      </c>
      <c r="W32" s="18">
        <f t="shared" si="7"/>
        <v>5833.8726371737912</v>
      </c>
      <c r="X32" s="18">
        <f t="shared" si="8"/>
        <v>1447.1355285940308</v>
      </c>
      <c r="Y32" s="7"/>
      <c r="Z32" s="18">
        <f t="shared" si="9"/>
        <v>2869.2630548482566</v>
      </c>
      <c r="AA32" s="18">
        <f t="shared" si="10"/>
        <v>5025.9053050116045</v>
      </c>
      <c r="AB32" s="18">
        <f t="shared" si="11"/>
        <v>1156.994228906764</v>
      </c>
    </row>
    <row r="33" spans="1:28" x14ac:dyDescent="0.35">
      <c r="A33" s="17">
        <v>2030</v>
      </c>
      <c r="B33" s="18">
        <f t="shared" si="0"/>
        <v>12564.557867721687</v>
      </c>
      <c r="C33" s="18">
        <f t="shared" si="1"/>
        <v>16499.678130237735</v>
      </c>
      <c r="D33" s="18">
        <f t="shared" si="2"/>
        <v>14335.76715701642</v>
      </c>
      <c r="F33" s="21">
        <f>'LAT Scenario projections '!D11</f>
        <v>0.27</v>
      </c>
      <c r="G33" s="21">
        <f>'LAT Scenario projections '!C11</f>
        <v>0.4</v>
      </c>
      <c r="H33" s="21">
        <f>'LAT Scenario projections '!E11</f>
        <v>0</v>
      </c>
      <c r="I33" s="7"/>
      <c r="J33" s="21">
        <f>'LAT Scenario projections '!K11</f>
        <v>0.28375</v>
      </c>
      <c r="K33" s="21">
        <f>'LAT Scenario projections '!J11</f>
        <v>0.36588235294117649</v>
      </c>
      <c r="L33" s="21">
        <f>'LAT Scenario projections '!L11</f>
        <v>0.11937499999999998</v>
      </c>
      <c r="M33" s="7"/>
      <c r="N33" s="21">
        <f>'LAT Scenario projections '!R11</f>
        <v>0.24307692307692305</v>
      </c>
      <c r="O33" s="21">
        <f>'LAT Scenario projections '!Q11</f>
        <v>0.30830065359477132</v>
      </c>
      <c r="P33" s="21">
        <f>'LAT Scenario projections '!S11</f>
        <v>9.5000000000000001E-2</v>
      </c>
      <c r="R33" s="18">
        <f t="shared" si="3"/>
        <v>3392.4306242848556</v>
      </c>
      <c r="S33" s="18">
        <f t="shared" si="4"/>
        <v>6599.871252095094</v>
      </c>
      <c r="T33" s="18">
        <f t="shared" si="5"/>
        <v>0</v>
      </c>
      <c r="U33" s="7"/>
      <c r="V33" s="18">
        <f t="shared" si="6"/>
        <v>3565.1932949660286</v>
      </c>
      <c r="W33" s="18">
        <f t="shared" si="7"/>
        <v>6036.9410570634536</v>
      </c>
      <c r="X33" s="18">
        <f t="shared" si="8"/>
        <v>1711.3322043688349</v>
      </c>
      <c r="Y33" s="7"/>
      <c r="Z33" s="18">
        <f t="shared" si="9"/>
        <v>3054.154066307733</v>
      </c>
      <c r="AA33" s="18">
        <f t="shared" si="10"/>
        <v>5086.8615516556483</v>
      </c>
      <c r="AB33" s="18">
        <f t="shared" si="11"/>
        <v>1361.89787991656</v>
      </c>
    </row>
    <row r="34" spans="1:28" x14ac:dyDescent="0.35">
      <c r="A34" s="17">
        <v>2031</v>
      </c>
      <c r="B34" s="18">
        <f t="shared" si="0"/>
        <v>12668.643537514288</v>
      </c>
      <c r="C34" s="18">
        <f t="shared" si="1"/>
        <v>16169.741266346722</v>
      </c>
      <c r="D34" s="18">
        <f t="shared" si="2"/>
        <v>14389.258002619408</v>
      </c>
      <c r="F34" s="21">
        <f>'LAT Scenario projections '!D12</f>
        <v>0.25650000000000001</v>
      </c>
      <c r="G34" s="21">
        <f>'LAT Scenario projections '!C12</f>
        <v>0.40500000000000003</v>
      </c>
      <c r="H34" s="21">
        <f>'LAT Scenario projections '!E12</f>
        <v>0</v>
      </c>
      <c r="I34" s="7"/>
      <c r="J34" s="21">
        <f>'LAT Scenario projections '!K12</f>
        <v>0.30337500000000001</v>
      </c>
      <c r="K34" s="21">
        <f>'LAT Scenario projections '!J12</f>
        <v>0.38529411764705884</v>
      </c>
      <c r="L34" s="21">
        <f>'LAT Scenario projections '!L12</f>
        <v>0.13743749999999999</v>
      </c>
      <c r="M34" s="7"/>
      <c r="N34" s="21">
        <f>'LAT Scenario projections '!R12</f>
        <v>0.25592307692307692</v>
      </c>
      <c r="O34" s="21">
        <f>'LAT Scenario projections '!Q12</f>
        <v>0.31811546840958616</v>
      </c>
      <c r="P34" s="21">
        <f>'LAT Scenario projections '!S12</f>
        <v>0.109</v>
      </c>
      <c r="R34" s="18">
        <f t="shared" si="3"/>
        <v>3249.5070673724149</v>
      </c>
      <c r="S34" s="18">
        <f t="shared" si="4"/>
        <v>6548.7452128704226</v>
      </c>
      <c r="T34" s="18">
        <f t="shared" si="5"/>
        <v>0</v>
      </c>
      <c r="U34" s="7"/>
      <c r="V34" s="18">
        <f t="shared" si="6"/>
        <v>3843.3497331933972</v>
      </c>
      <c r="W34" s="18">
        <f t="shared" si="7"/>
        <v>6230.1061937982959</v>
      </c>
      <c r="X34" s="18">
        <f t="shared" si="8"/>
        <v>1977.6236467350047</v>
      </c>
      <c r="Y34" s="7"/>
      <c r="Z34" s="18">
        <f t="shared" si="9"/>
        <v>3242.1982345623105</v>
      </c>
      <c r="AA34" s="18">
        <f t="shared" si="10"/>
        <v>5143.8448170057027</v>
      </c>
      <c r="AB34" s="18">
        <f t="shared" si="11"/>
        <v>1568.4291222855154</v>
      </c>
    </row>
    <row r="35" spans="1:28" x14ac:dyDescent="0.35">
      <c r="A35" s="17">
        <v>2032</v>
      </c>
      <c r="B35" s="18">
        <f t="shared" ref="B35:B66" si="12">B90</f>
        <v>12776.643298155896</v>
      </c>
      <c r="C35" s="18">
        <f t="shared" ref="C35:C66" si="13">B143</f>
        <v>15850.187992917767</v>
      </c>
      <c r="D35" s="18">
        <f t="shared" ref="D35:D66" si="14">B196</f>
        <v>14446.39911483216</v>
      </c>
      <c r="F35" s="21">
        <f>'LAT Scenario projections '!D13</f>
        <v>0.24299999999999999</v>
      </c>
      <c r="G35" s="21">
        <f>'LAT Scenario projections '!C13</f>
        <v>0.41000000000000003</v>
      </c>
      <c r="H35" s="21">
        <f>'LAT Scenario projections '!E13</f>
        <v>0</v>
      </c>
      <c r="I35" s="7"/>
      <c r="J35" s="21">
        <f>'LAT Scenario projections '!K13</f>
        <v>0.32300000000000001</v>
      </c>
      <c r="K35" s="21">
        <f>'LAT Scenario projections '!J13</f>
        <v>0.40470588235294119</v>
      </c>
      <c r="L35" s="21">
        <f>'LAT Scenario projections '!L13</f>
        <v>0.1555</v>
      </c>
      <c r="M35" s="7"/>
      <c r="N35" s="21">
        <f>'LAT Scenario projections '!R13</f>
        <v>0.26876923076923076</v>
      </c>
      <c r="O35" s="21">
        <f>'LAT Scenario projections '!Q13</f>
        <v>0.32793028322440099</v>
      </c>
      <c r="P35" s="21">
        <f>'LAT Scenario projections '!S13</f>
        <v>0.123</v>
      </c>
      <c r="R35" s="18">
        <f t="shared" ref="R35:R53" si="15">F35*B35</f>
        <v>3104.7243214518826</v>
      </c>
      <c r="S35" s="18">
        <f t="shared" ref="S35:S53" si="16">G35*C35</f>
        <v>6498.5770770962845</v>
      </c>
      <c r="T35" s="18">
        <f t="shared" ref="T35:T53" si="17">H35*D35</f>
        <v>0</v>
      </c>
      <c r="U35" s="7"/>
      <c r="V35" s="18">
        <f t="shared" ref="V35:V53" si="18">J35*B35</f>
        <v>4126.855785304354</v>
      </c>
      <c r="W35" s="18">
        <f t="shared" ref="W35:W53" si="19">K35*C35</f>
        <v>6414.6643171337792</v>
      </c>
      <c r="X35" s="18">
        <f t="shared" ref="X35:X53" si="20">L35*D35</f>
        <v>2246.415062356401</v>
      </c>
      <c r="Y35" s="7"/>
      <c r="Z35" s="18">
        <f t="shared" ref="Z35:Z53" si="21">N35*B35</f>
        <v>3433.9685910582075</v>
      </c>
      <c r="AA35" s="18">
        <f t="shared" ref="AA35:AA53" si="22">O35*C35</f>
        <v>5197.756637677523</v>
      </c>
      <c r="AB35" s="18">
        <f t="shared" ref="AB35:AB53" si="23">P35*D35</f>
        <v>1776.9070911243557</v>
      </c>
    </row>
    <row r="36" spans="1:28" x14ac:dyDescent="0.35">
      <c r="A36" s="17">
        <v>2033</v>
      </c>
      <c r="B36" s="18">
        <f t="shared" si="12"/>
        <v>12889.434530857088</v>
      </c>
      <c r="C36" s="18">
        <f t="shared" si="13"/>
        <v>15541.617111310588</v>
      </c>
      <c r="D36" s="18">
        <f t="shared" si="14"/>
        <v>14508.124020132131</v>
      </c>
      <c r="F36" s="21">
        <f>'LAT Scenario projections '!D14</f>
        <v>0.22949999999999998</v>
      </c>
      <c r="G36" s="21">
        <f>'LAT Scenario projections '!C14</f>
        <v>0.41500000000000004</v>
      </c>
      <c r="H36" s="21">
        <f>'LAT Scenario projections '!E14</f>
        <v>0</v>
      </c>
      <c r="I36" s="7"/>
      <c r="J36" s="21">
        <f>'LAT Scenario projections '!K14</f>
        <v>0.34262500000000001</v>
      </c>
      <c r="K36" s="21">
        <f>'LAT Scenario projections '!J14</f>
        <v>0.42411764705882354</v>
      </c>
      <c r="L36" s="21">
        <f>'LAT Scenario projections '!L14</f>
        <v>0.17356250000000001</v>
      </c>
      <c r="M36" s="7"/>
      <c r="N36" s="21">
        <f>'LAT Scenario projections '!R14</f>
        <v>0.2816153846153846</v>
      </c>
      <c r="O36" s="21">
        <f>'LAT Scenario projections '!Q14</f>
        <v>0.33774509803921582</v>
      </c>
      <c r="P36" s="21">
        <f>'LAT Scenario projections '!S14</f>
        <v>0.13700000000000001</v>
      </c>
      <c r="R36" s="18">
        <f t="shared" si="15"/>
        <v>2958.1252248317014</v>
      </c>
      <c r="S36" s="18">
        <f t="shared" si="16"/>
        <v>6449.7711011938945</v>
      </c>
      <c r="T36" s="18">
        <f t="shared" si="17"/>
        <v>0</v>
      </c>
      <c r="U36" s="7"/>
      <c r="V36" s="18">
        <f t="shared" si="18"/>
        <v>4416.2425061349104</v>
      </c>
      <c r="W36" s="18">
        <f t="shared" si="19"/>
        <v>6591.4740807381968</v>
      </c>
      <c r="X36" s="18">
        <f t="shared" si="20"/>
        <v>2518.0662752441831</v>
      </c>
      <c r="Y36" s="7"/>
      <c r="Z36" s="18">
        <f t="shared" si="21"/>
        <v>3629.8630628821384</v>
      </c>
      <c r="AA36" s="18">
        <f t="shared" si="22"/>
        <v>5249.1049949475491</v>
      </c>
      <c r="AB36" s="18">
        <f t="shared" si="23"/>
        <v>1987.6129907581021</v>
      </c>
    </row>
    <row r="37" spans="1:28" x14ac:dyDescent="0.35">
      <c r="A37" s="17">
        <v>2034</v>
      </c>
      <c r="B37" s="18">
        <f t="shared" si="12"/>
        <v>13007.732865890368</v>
      </c>
      <c r="C37" s="18">
        <f t="shared" si="13"/>
        <v>15244.340574842698</v>
      </c>
      <c r="D37" s="18">
        <f t="shared" si="14"/>
        <v>14575.167669933184</v>
      </c>
      <c r="F37" s="21">
        <f>'LAT Scenario projections '!D15</f>
        <v>0.21599999999999997</v>
      </c>
      <c r="G37" s="21">
        <f>'LAT Scenario projections '!C15</f>
        <v>0.42000000000000004</v>
      </c>
      <c r="H37" s="21">
        <f>'LAT Scenario projections '!E15</f>
        <v>0</v>
      </c>
      <c r="I37" s="7"/>
      <c r="J37" s="21">
        <f>'LAT Scenario projections '!K15</f>
        <v>0.36225000000000002</v>
      </c>
      <c r="K37" s="21">
        <f>'LAT Scenario projections '!J15</f>
        <v>0.44352941176470589</v>
      </c>
      <c r="L37" s="21">
        <f>'LAT Scenario projections '!L15</f>
        <v>0.19162500000000002</v>
      </c>
      <c r="M37" s="7"/>
      <c r="N37" s="21">
        <f>'LAT Scenario projections '!R15</f>
        <v>0.29446153846153844</v>
      </c>
      <c r="O37" s="21">
        <f>'LAT Scenario projections '!Q15</f>
        <v>0.34755991285403065</v>
      </c>
      <c r="P37" s="21">
        <f>'LAT Scenario projections '!S15</f>
        <v>0.15100000000000002</v>
      </c>
      <c r="R37" s="18">
        <f t="shared" si="15"/>
        <v>2809.6702990323192</v>
      </c>
      <c r="S37" s="18">
        <f t="shared" si="16"/>
        <v>6402.6230414339334</v>
      </c>
      <c r="T37" s="18">
        <f t="shared" si="17"/>
        <v>0</v>
      </c>
      <c r="U37" s="7"/>
      <c r="V37" s="18">
        <f t="shared" si="18"/>
        <v>4712.051230668786</v>
      </c>
      <c r="W37" s="18">
        <f t="shared" si="19"/>
        <v>6761.3134079008205</v>
      </c>
      <c r="X37" s="18">
        <f t="shared" si="20"/>
        <v>2792.9665047509466</v>
      </c>
      <c r="Y37" s="7"/>
      <c r="Z37" s="18">
        <f t="shared" si="21"/>
        <v>3830.2770315867942</v>
      </c>
      <c r="AA37" s="18">
        <f t="shared" si="22"/>
        <v>5298.3216817094917</v>
      </c>
      <c r="AB37" s="18">
        <f t="shared" si="23"/>
        <v>2200.8503181599112</v>
      </c>
    </row>
    <row r="38" spans="1:28" x14ac:dyDescent="0.35">
      <c r="A38" s="17">
        <v>2035</v>
      </c>
      <c r="B38" s="18">
        <f t="shared" si="12"/>
        <v>13142.613255858423</v>
      </c>
      <c r="C38" s="18">
        <f t="shared" si="13"/>
        <v>14970.401724460453</v>
      </c>
      <c r="D38" s="18">
        <f t="shared" si="14"/>
        <v>14659.806363799516</v>
      </c>
      <c r="F38" s="21">
        <f>'LAT Scenario projections '!D16</f>
        <v>0.20249999999999996</v>
      </c>
      <c r="G38" s="21">
        <f>'LAT Scenario projections '!C16</f>
        <v>0.42500000000000004</v>
      </c>
      <c r="H38" s="21">
        <f>'LAT Scenario projections '!E16</f>
        <v>0</v>
      </c>
      <c r="I38" s="7"/>
      <c r="J38" s="21">
        <f>'LAT Scenario projections '!K16</f>
        <v>0.38187500000000002</v>
      </c>
      <c r="K38" s="21">
        <f>'LAT Scenario projections '!J16</f>
        <v>0.46294117647058824</v>
      </c>
      <c r="L38" s="21">
        <f>'LAT Scenario projections '!L16</f>
        <v>0.20968750000000003</v>
      </c>
      <c r="M38" s="7"/>
      <c r="N38" s="21">
        <f>'LAT Scenario projections '!R16</f>
        <v>0.30730769230769228</v>
      </c>
      <c r="O38" s="21">
        <f>'LAT Scenario projections '!Q16</f>
        <v>0.35737472766884548</v>
      </c>
      <c r="P38" s="21">
        <f>'LAT Scenario projections '!S16</f>
        <v>0.16500000000000004</v>
      </c>
      <c r="R38" s="18">
        <f t="shared" si="15"/>
        <v>2661.3791843113299</v>
      </c>
      <c r="S38" s="18">
        <f t="shared" si="16"/>
        <v>6362.4207328956927</v>
      </c>
      <c r="T38" s="18">
        <f t="shared" si="17"/>
        <v>0</v>
      </c>
      <c r="U38" s="7"/>
      <c r="V38" s="18">
        <f t="shared" si="18"/>
        <v>5018.8354370809357</v>
      </c>
      <c r="W38" s="18">
        <f t="shared" si="19"/>
        <v>6930.4153865590451</v>
      </c>
      <c r="X38" s="18">
        <f t="shared" si="20"/>
        <v>3073.9781469092113</v>
      </c>
      <c r="Y38" s="7"/>
      <c r="Z38" s="18">
        <f t="shared" si="21"/>
        <v>4038.8261505503383</v>
      </c>
      <c r="AA38" s="18">
        <f t="shared" si="22"/>
        <v>5350.0432393722695</v>
      </c>
      <c r="AB38" s="18">
        <f t="shared" si="23"/>
        <v>2418.8680500269206</v>
      </c>
    </row>
    <row r="39" spans="1:28" x14ac:dyDescent="0.35">
      <c r="A39" s="17">
        <v>2036</v>
      </c>
      <c r="B39" s="18">
        <f t="shared" si="12"/>
        <v>13282.947431829949</v>
      </c>
      <c r="C39" s="18">
        <f t="shared" si="13"/>
        <v>14705.87510663681</v>
      </c>
      <c r="D39" s="18">
        <f t="shared" si="14"/>
        <v>14749.439444897411</v>
      </c>
      <c r="F39" s="21">
        <f>'LAT Scenario projections '!D17</f>
        <v>0.18899999999999995</v>
      </c>
      <c r="G39" s="21">
        <f>'LAT Scenario projections '!C17</f>
        <v>0.43000000000000005</v>
      </c>
      <c r="H39" s="21">
        <f>'LAT Scenario projections '!E17</f>
        <v>0</v>
      </c>
      <c r="I39" s="7"/>
      <c r="J39" s="21">
        <f>'LAT Scenario projections '!K17</f>
        <v>0.40150000000000002</v>
      </c>
      <c r="K39" s="21">
        <f>'LAT Scenario projections '!J17</f>
        <v>0.4823529411764706</v>
      </c>
      <c r="L39" s="21">
        <f>'LAT Scenario projections '!L17</f>
        <v>0.22775000000000004</v>
      </c>
      <c r="M39" s="7"/>
      <c r="N39" s="21">
        <f>'LAT Scenario projections '!R17</f>
        <v>0.32015384615384612</v>
      </c>
      <c r="O39" s="21">
        <f>'LAT Scenario projections '!Q17</f>
        <v>0.36718954248366031</v>
      </c>
      <c r="P39" s="21">
        <f>'LAT Scenario projections '!S17</f>
        <v>0.17900000000000005</v>
      </c>
      <c r="R39" s="18">
        <f t="shared" si="15"/>
        <v>2510.4770646158595</v>
      </c>
      <c r="S39" s="18">
        <f t="shared" si="16"/>
        <v>6323.5262958538287</v>
      </c>
      <c r="T39" s="18">
        <f t="shared" si="17"/>
        <v>0</v>
      </c>
      <c r="U39" s="7"/>
      <c r="V39" s="18">
        <f t="shared" si="18"/>
        <v>5333.1033938797245</v>
      </c>
      <c r="W39" s="18">
        <f t="shared" si="19"/>
        <v>7093.4221102601086</v>
      </c>
      <c r="X39" s="18">
        <f t="shared" si="20"/>
        <v>3359.1848335753857</v>
      </c>
      <c r="Y39" s="7"/>
      <c r="Z39" s="18">
        <f t="shared" si="21"/>
        <v>4252.586708559711</v>
      </c>
      <c r="AA39" s="18">
        <f t="shared" si="22"/>
        <v>5399.8435522278196</v>
      </c>
      <c r="AB39" s="18">
        <f t="shared" si="23"/>
        <v>2640.1496606366372</v>
      </c>
    </row>
    <row r="40" spans="1:28" x14ac:dyDescent="0.35">
      <c r="A40" s="17">
        <v>2037</v>
      </c>
      <c r="B40" s="18">
        <f t="shared" si="12"/>
        <v>13428.030549545845</v>
      </c>
      <c r="C40" s="18">
        <f t="shared" si="13"/>
        <v>14449.520417999331</v>
      </c>
      <c r="D40" s="18">
        <f t="shared" si="14"/>
        <v>14843.213611813726</v>
      </c>
      <c r="F40" s="21">
        <f>'LAT Scenario projections '!D18</f>
        <v>0.17549999999999993</v>
      </c>
      <c r="G40" s="21">
        <f>'LAT Scenario projections '!C18</f>
        <v>0.43500000000000005</v>
      </c>
      <c r="H40" s="21">
        <f>'LAT Scenario projections '!E18</f>
        <v>0</v>
      </c>
      <c r="I40" s="7"/>
      <c r="J40" s="21">
        <f>'LAT Scenario projections '!K18</f>
        <v>0.42112500000000003</v>
      </c>
      <c r="K40" s="21">
        <f>'LAT Scenario projections '!J18</f>
        <v>0.501764705882353</v>
      </c>
      <c r="L40" s="21">
        <f>'LAT Scenario projections '!L18</f>
        <v>0.24581250000000004</v>
      </c>
      <c r="M40" s="7"/>
      <c r="N40" s="21">
        <f>'LAT Scenario projections '!R18</f>
        <v>0.33299999999999996</v>
      </c>
      <c r="O40" s="21">
        <f>'LAT Scenario projections '!Q18</f>
        <v>0.37700435729847515</v>
      </c>
      <c r="P40" s="21">
        <f>'LAT Scenario projections '!S18</f>
        <v>0.19300000000000006</v>
      </c>
      <c r="R40" s="18">
        <f t="shared" si="15"/>
        <v>2356.619361445295</v>
      </c>
      <c r="S40" s="18">
        <f t="shared" si="16"/>
        <v>6285.5413818297093</v>
      </c>
      <c r="T40" s="18">
        <f t="shared" si="17"/>
        <v>0</v>
      </c>
      <c r="U40" s="7"/>
      <c r="V40" s="18">
        <f t="shared" si="18"/>
        <v>5654.879365177494</v>
      </c>
      <c r="W40" s="18">
        <f t="shared" si="19"/>
        <v>7250.2593626784883</v>
      </c>
      <c r="X40" s="18">
        <f t="shared" si="20"/>
        <v>3648.6474459539622</v>
      </c>
      <c r="Y40" s="7"/>
      <c r="Z40" s="18">
        <f t="shared" si="21"/>
        <v>4471.5341729987658</v>
      </c>
      <c r="AA40" s="18">
        <f t="shared" si="22"/>
        <v>5447.532158459032</v>
      </c>
      <c r="AB40" s="18">
        <f t="shared" si="23"/>
        <v>2864.7402270800499</v>
      </c>
    </row>
    <row r="41" spans="1:28" x14ac:dyDescent="0.35">
      <c r="A41" s="17">
        <v>2038</v>
      </c>
      <c r="B41" s="18">
        <f t="shared" si="12"/>
        <v>13578.526702197965</v>
      </c>
      <c r="C41" s="18">
        <f t="shared" si="13"/>
        <v>14201.63858187876</v>
      </c>
      <c r="D41" s="18">
        <f t="shared" si="14"/>
        <v>14941.796704200615</v>
      </c>
      <c r="F41" s="21">
        <f>'LAT Scenario projections '!D19</f>
        <v>0.16199999999999992</v>
      </c>
      <c r="G41" s="21">
        <f>'LAT Scenario projections '!C19</f>
        <v>0.44000000000000006</v>
      </c>
      <c r="H41" s="21">
        <f>'LAT Scenario projections '!E19</f>
        <v>0</v>
      </c>
      <c r="I41" s="7"/>
      <c r="J41" s="21">
        <f>'LAT Scenario projections '!K19</f>
        <v>0.44075000000000003</v>
      </c>
      <c r="K41" s="21">
        <f>'LAT Scenario projections '!J19</f>
        <v>0.52117647058823535</v>
      </c>
      <c r="L41" s="21">
        <f>'LAT Scenario projections '!L19</f>
        <v>0.26387500000000003</v>
      </c>
      <c r="M41" s="7"/>
      <c r="N41" s="21">
        <f>'LAT Scenario projections '!R19</f>
        <v>0.3458461538461538</v>
      </c>
      <c r="O41" s="21">
        <f>'LAT Scenario projections '!Q19</f>
        <v>0.38681917211328998</v>
      </c>
      <c r="P41" s="21">
        <f>'LAT Scenario projections '!S19</f>
        <v>0.20700000000000007</v>
      </c>
      <c r="R41" s="18">
        <f t="shared" si="15"/>
        <v>2199.7213257560693</v>
      </c>
      <c r="S41" s="18">
        <f t="shared" si="16"/>
        <v>6248.7209760266551</v>
      </c>
      <c r="T41" s="18">
        <f t="shared" si="17"/>
        <v>0</v>
      </c>
      <c r="U41" s="7"/>
      <c r="V41" s="18">
        <f t="shared" si="18"/>
        <v>5984.7356439937539</v>
      </c>
      <c r="W41" s="18">
        <f t="shared" si="19"/>
        <v>7401.5598726732842</v>
      </c>
      <c r="X41" s="18">
        <f t="shared" si="20"/>
        <v>3942.7666053209377</v>
      </c>
      <c r="Y41" s="7"/>
      <c r="Z41" s="18">
        <f t="shared" si="21"/>
        <v>4696.0812348524651</v>
      </c>
      <c r="AA41" s="18">
        <f t="shared" si="22"/>
        <v>5493.4660788944993</v>
      </c>
      <c r="AB41" s="18">
        <f t="shared" si="23"/>
        <v>3092.9519177695283</v>
      </c>
    </row>
    <row r="42" spans="1:28" x14ac:dyDescent="0.35">
      <c r="A42" s="17">
        <v>2039</v>
      </c>
      <c r="B42" s="18">
        <f t="shared" si="12"/>
        <v>13732.957117100435</v>
      </c>
      <c r="C42" s="18">
        <f t="shared" si="13"/>
        <v>13960.293930178295</v>
      </c>
      <c r="D42" s="18">
        <f t="shared" si="14"/>
        <v>15043.496593733145</v>
      </c>
      <c r="F42" s="21">
        <f>'LAT Scenario projections '!D20</f>
        <v>0.14849999999999991</v>
      </c>
      <c r="G42" s="21">
        <f>'LAT Scenario projections '!C20</f>
        <v>0.44500000000000006</v>
      </c>
      <c r="H42" s="21">
        <f>'LAT Scenario projections '!E20</f>
        <v>0</v>
      </c>
      <c r="I42" s="7"/>
      <c r="J42" s="21">
        <f>'LAT Scenario projections '!K20</f>
        <v>0.46037500000000003</v>
      </c>
      <c r="K42" s="21">
        <f>'LAT Scenario projections '!J20</f>
        <v>0.5405882352941177</v>
      </c>
      <c r="L42" s="21">
        <f>'LAT Scenario projections '!L20</f>
        <v>0.28193750000000001</v>
      </c>
      <c r="M42" s="7"/>
      <c r="N42" s="21">
        <f>'LAT Scenario projections '!R20</f>
        <v>0.35869230769230764</v>
      </c>
      <c r="O42" s="21">
        <f>'LAT Scenario projections '!Q20</f>
        <v>0.39663398692810481</v>
      </c>
      <c r="P42" s="21">
        <f>'LAT Scenario projections '!S20</f>
        <v>0.22100000000000009</v>
      </c>
      <c r="R42" s="18">
        <f t="shared" si="15"/>
        <v>2039.3441318894133</v>
      </c>
      <c r="S42" s="18">
        <f t="shared" si="16"/>
        <v>6212.3307989293426</v>
      </c>
      <c r="T42" s="18">
        <f t="shared" si="17"/>
        <v>0</v>
      </c>
      <c r="U42" s="7"/>
      <c r="V42" s="18">
        <f t="shared" si="18"/>
        <v>6322.3101327851136</v>
      </c>
      <c r="W42" s="18">
        <f t="shared" si="19"/>
        <v>7546.7706599022677</v>
      </c>
      <c r="X42" s="18">
        <f t="shared" si="20"/>
        <v>4241.3258208956386</v>
      </c>
      <c r="Y42" s="7"/>
      <c r="Z42" s="18">
        <f t="shared" si="21"/>
        <v>4925.9060797722559</v>
      </c>
      <c r="AA42" s="18">
        <f t="shared" si="22"/>
        <v>5537.1270402148393</v>
      </c>
      <c r="AB42" s="18">
        <f t="shared" si="23"/>
        <v>3324.6127472150265</v>
      </c>
    </row>
    <row r="43" spans="1:28" x14ac:dyDescent="0.35">
      <c r="A43" s="17">
        <v>2040</v>
      </c>
      <c r="B43" s="18">
        <f t="shared" si="12"/>
        <v>13892.11888615478</v>
      </c>
      <c r="C43" s="18">
        <f t="shared" si="13"/>
        <v>13725.990143337267</v>
      </c>
      <c r="D43" s="18">
        <f t="shared" si="14"/>
        <v>15149.132879371264</v>
      </c>
      <c r="F43" s="21">
        <f>'LAT Scenario projections '!D21</f>
        <v>0.1349999999999999</v>
      </c>
      <c r="G43" s="21">
        <f>'LAT Scenario projections '!C21</f>
        <v>0.45000000000000007</v>
      </c>
      <c r="H43" s="21">
        <f>'LAT Scenario projections '!E21</f>
        <v>0</v>
      </c>
      <c r="I43" s="7"/>
      <c r="J43" s="21">
        <f>'LAT Scenario projections '!K21</f>
        <v>0.48</v>
      </c>
      <c r="K43" s="21">
        <f>'LAT Scenario projections '!J21</f>
        <v>0.56000000000000005</v>
      </c>
      <c r="L43" s="21">
        <f>'LAT Scenario projections '!L21</f>
        <v>0.3</v>
      </c>
      <c r="M43" s="7"/>
      <c r="N43" s="21">
        <f>'LAT Scenario projections '!R21</f>
        <v>0.37153846153846148</v>
      </c>
      <c r="O43" s="21">
        <f>'LAT Scenario projections '!Q21</f>
        <v>0.40644880174291964</v>
      </c>
      <c r="P43" s="21">
        <f>'LAT Scenario projections '!S21</f>
        <v>0.2350000000000001</v>
      </c>
      <c r="R43" s="18">
        <f t="shared" si="15"/>
        <v>1875.4360496308939</v>
      </c>
      <c r="S43" s="18">
        <f t="shared" si="16"/>
        <v>6176.6955645017715</v>
      </c>
      <c r="T43" s="18">
        <f t="shared" si="17"/>
        <v>0</v>
      </c>
      <c r="U43" s="7"/>
      <c r="V43" s="18">
        <f t="shared" si="18"/>
        <v>6668.2170653542944</v>
      </c>
      <c r="W43" s="18">
        <f t="shared" si="19"/>
        <v>7686.5544802688701</v>
      </c>
      <c r="X43" s="18">
        <f t="shared" si="20"/>
        <v>4544.7398638113791</v>
      </c>
      <c r="Y43" s="7"/>
      <c r="Z43" s="18">
        <f t="shared" si="21"/>
        <v>5161.4564784713521</v>
      </c>
      <c r="AA43" s="18">
        <f t="shared" si="22"/>
        <v>5578.9122464945576</v>
      </c>
      <c r="AB43" s="18">
        <f t="shared" si="23"/>
        <v>3560.0462266522486</v>
      </c>
    </row>
    <row r="44" spans="1:28" x14ac:dyDescent="0.35">
      <c r="A44" s="17">
        <v>2041</v>
      </c>
      <c r="B44" s="18">
        <f t="shared" si="12"/>
        <v>14056.072086380063</v>
      </c>
      <c r="C44" s="18">
        <f t="shared" si="13"/>
        <v>13498.448694653798</v>
      </c>
      <c r="D44" s="18">
        <f t="shared" si="14"/>
        <v>15258.709859233402</v>
      </c>
      <c r="F44" s="21">
        <f>'LAT Scenario projections '!D22</f>
        <v>0.1214999999999999</v>
      </c>
      <c r="G44" s="21">
        <f>'LAT Scenario projections '!C22</f>
        <v>0.45500000000000007</v>
      </c>
      <c r="H44" s="21">
        <f>'LAT Scenario projections '!E22</f>
        <v>0</v>
      </c>
      <c r="I44" s="7"/>
      <c r="J44" s="21">
        <f>'LAT Scenario projections '!K22</f>
        <v>0.49399999999999999</v>
      </c>
      <c r="K44" s="21">
        <f>'LAT Scenario projections '!J22</f>
        <v>0.56400000000000006</v>
      </c>
      <c r="L44" s="21">
        <f>'LAT Scenario projections '!L22</f>
        <v>0.32999999999999996</v>
      </c>
      <c r="M44" s="7"/>
      <c r="N44" s="21">
        <f>'LAT Scenario projections '!R22</f>
        <v>0.38438461538461532</v>
      </c>
      <c r="O44" s="21">
        <f>'LAT Scenario projections '!Q22</f>
        <v>0.41626361655773447</v>
      </c>
      <c r="P44" s="21">
        <f>'LAT Scenario projections '!S22</f>
        <v>0.24900000000000011</v>
      </c>
      <c r="R44" s="18">
        <f t="shared" si="15"/>
        <v>1707.8127584951762</v>
      </c>
      <c r="S44" s="18">
        <f t="shared" si="16"/>
        <v>6141.794156067479</v>
      </c>
      <c r="T44" s="18">
        <f t="shared" si="17"/>
        <v>0</v>
      </c>
      <c r="U44" s="7"/>
      <c r="V44" s="18">
        <f t="shared" si="18"/>
        <v>6943.6996106717515</v>
      </c>
      <c r="W44" s="18">
        <f t="shared" si="19"/>
        <v>7613.1250637847434</v>
      </c>
      <c r="X44" s="18">
        <f t="shared" si="20"/>
        <v>5035.3742535470219</v>
      </c>
      <c r="Y44" s="7"/>
      <c r="Z44" s="18">
        <f t="shared" si="21"/>
        <v>5402.9378627416281</v>
      </c>
      <c r="AA44" s="18">
        <f t="shared" si="22"/>
        <v>5618.9130715556203</v>
      </c>
      <c r="AB44" s="18">
        <f t="shared" si="23"/>
        <v>3799.4187549491189</v>
      </c>
    </row>
    <row r="45" spans="1:28" x14ac:dyDescent="0.35">
      <c r="A45" s="17">
        <v>2042</v>
      </c>
      <c r="B45" s="18">
        <f t="shared" si="12"/>
        <v>14224.234751017482</v>
      </c>
      <c r="C45" s="18">
        <f t="shared" si="13"/>
        <v>13276.802304760613</v>
      </c>
      <c r="D45" s="18">
        <f t="shared" si="14"/>
        <v>15371.537398658815</v>
      </c>
      <c r="F45" s="21">
        <f>'LAT Scenario projections '!D23</f>
        <v>0.1079999999999999</v>
      </c>
      <c r="G45" s="21">
        <f>'LAT Scenario projections '!C23</f>
        <v>0.46000000000000008</v>
      </c>
      <c r="H45" s="21">
        <f>'LAT Scenario projections '!E23</f>
        <v>0</v>
      </c>
      <c r="I45" s="7"/>
      <c r="J45" s="21">
        <f>'LAT Scenario projections '!K23</f>
        <v>0.50800000000000001</v>
      </c>
      <c r="K45" s="21">
        <f>'LAT Scenario projections '!J23</f>
        <v>0.56800000000000006</v>
      </c>
      <c r="L45" s="21">
        <f>'LAT Scenario projections '!L23</f>
        <v>0.36</v>
      </c>
      <c r="M45" s="7"/>
      <c r="N45" s="21">
        <f>'LAT Scenario projections '!R23</f>
        <v>0.39723076923076917</v>
      </c>
      <c r="O45" s="21">
        <f>'LAT Scenario projections '!Q23</f>
        <v>0.4260784313725493</v>
      </c>
      <c r="P45" s="21">
        <f>'LAT Scenario projections '!S23</f>
        <v>0.26300000000000012</v>
      </c>
      <c r="R45" s="18">
        <f t="shared" si="15"/>
        <v>1536.2173531098867</v>
      </c>
      <c r="S45" s="18">
        <f t="shared" si="16"/>
        <v>6107.3290601898834</v>
      </c>
      <c r="T45" s="18">
        <f t="shared" si="17"/>
        <v>0</v>
      </c>
      <c r="U45" s="7"/>
      <c r="V45" s="18">
        <f t="shared" si="18"/>
        <v>7225.9112535168815</v>
      </c>
      <c r="W45" s="18">
        <f t="shared" si="19"/>
        <v>7541.2237091040288</v>
      </c>
      <c r="X45" s="18">
        <f t="shared" si="20"/>
        <v>5533.7534635171733</v>
      </c>
      <c r="Y45" s="7"/>
      <c r="Z45" s="18">
        <f t="shared" si="21"/>
        <v>5650.303711865713</v>
      </c>
      <c r="AA45" s="18">
        <f t="shared" si="22"/>
        <v>5656.9590996558491</v>
      </c>
      <c r="AB45" s="18">
        <f t="shared" si="23"/>
        <v>4042.7143358472704</v>
      </c>
    </row>
    <row r="46" spans="1:28" x14ac:dyDescent="0.35">
      <c r="A46" s="17">
        <v>2043</v>
      </c>
      <c r="B46" s="18">
        <f t="shared" si="12"/>
        <v>14396.37773907884</v>
      </c>
      <c r="C46" s="18">
        <f t="shared" si="13"/>
        <v>13060.581205605344</v>
      </c>
      <c r="D46" s="18">
        <f t="shared" si="14"/>
        <v>15487.316863092472</v>
      </c>
      <c r="F46" s="21">
        <f>'LAT Scenario projections '!D24</f>
        <v>9.4499999999999904E-2</v>
      </c>
      <c r="G46" s="21">
        <f>'LAT Scenario projections '!C24</f>
        <v>0.46500000000000008</v>
      </c>
      <c r="H46" s="21">
        <f>'LAT Scenario projections '!E24</f>
        <v>0</v>
      </c>
      <c r="I46" s="7"/>
      <c r="J46" s="21">
        <f>'LAT Scenario projections '!K24</f>
        <v>0.52200000000000002</v>
      </c>
      <c r="K46" s="21">
        <f>'LAT Scenario projections '!J24</f>
        <v>0.57200000000000006</v>
      </c>
      <c r="L46" s="21">
        <f>'LAT Scenario projections '!L24</f>
        <v>0.39</v>
      </c>
      <c r="M46" s="7"/>
      <c r="N46" s="21">
        <f>'LAT Scenario projections '!R24</f>
        <v>0.41007692307692301</v>
      </c>
      <c r="O46" s="21">
        <f>'LAT Scenario projections '!Q24</f>
        <v>0.43589324618736414</v>
      </c>
      <c r="P46" s="21">
        <f>'LAT Scenario projections '!S24</f>
        <v>0.27700000000000014</v>
      </c>
      <c r="R46" s="18">
        <f t="shared" si="15"/>
        <v>1360.457696342949</v>
      </c>
      <c r="S46" s="18">
        <f t="shared" si="16"/>
        <v>6073.1702606064855</v>
      </c>
      <c r="T46" s="18">
        <f t="shared" si="17"/>
        <v>0</v>
      </c>
      <c r="U46" s="7"/>
      <c r="V46" s="18">
        <f t="shared" si="18"/>
        <v>7514.909179799155</v>
      </c>
      <c r="W46" s="18">
        <f t="shared" si="19"/>
        <v>7470.6524496062575</v>
      </c>
      <c r="X46" s="18">
        <f t="shared" si="20"/>
        <v>6040.0535766060639</v>
      </c>
      <c r="Y46" s="7"/>
      <c r="Z46" s="18">
        <f t="shared" si="21"/>
        <v>5903.62228669456</v>
      </c>
      <c r="AA46" s="18">
        <f t="shared" si="22"/>
        <v>5693.0191388049916</v>
      </c>
      <c r="AB46" s="18">
        <f t="shared" si="23"/>
        <v>4289.9867710766166</v>
      </c>
    </row>
    <row r="47" spans="1:28" x14ac:dyDescent="0.35">
      <c r="A47" s="17">
        <v>2044</v>
      </c>
      <c r="B47" s="18">
        <f t="shared" si="12"/>
        <v>14572.207914911938</v>
      </c>
      <c r="C47" s="18">
        <f t="shared" si="13"/>
        <v>12849.295667799433</v>
      </c>
      <c r="D47" s="18">
        <f t="shared" si="14"/>
        <v>15605.686034233942</v>
      </c>
      <c r="F47" s="21">
        <f>'LAT Scenario projections '!D25</f>
        <v>8.0999999999999905E-2</v>
      </c>
      <c r="G47" s="21">
        <f>'LAT Scenario projections '!C25</f>
        <v>0.47000000000000008</v>
      </c>
      <c r="H47" s="21">
        <f>'LAT Scenario projections '!E25</f>
        <v>0</v>
      </c>
      <c r="I47" s="7"/>
      <c r="J47" s="21">
        <f>'LAT Scenario projections '!K25</f>
        <v>0.53600000000000003</v>
      </c>
      <c r="K47" s="21">
        <f>'LAT Scenario projections '!J25</f>
        <v>0.57600000000000007</v>
      </c>
      <c r="L47" s="21">
        <f>'LAT Scenario projections '!L25</f>
        <v>0.42000000000000004</v>
      </c>
      <c r="M47" s="7"/>
      <c r="N47" s="21">
        <f>'LAT Scenario projections '!R25</f>
        <v>0.42292307692307685</v>
      </c>
      <c r="O47" s="21">
        <f>'LAT Scenario projections '!Q25</f>
        <v>0.44570806100217897</v>
      </c>
      <c r="P47" s="21">
        <f>'LAT Scenario projections '!S25</f>
        <v>0.29100000000000015</v>
      </c>
      <c r="R47" s="18">
        <f t="shared" si="15"/>
        <v>1180.3488411078656</v>
      </c>
      <c r="S47" s="18">
        <f t="shared" si="16"/>
        <v>6039.1689638657344</v>
      </c>
      <c r="T47" s="18">
        <f t="shared" si="17"/>
        <v>0</v>
      </c>
      <c r="U47" s="7"/>
      <c r="V47" s="18">
        <f t="shared" si="18"/>
        <v>7810.7034423927989</v>
      </c>
      <c r="W47" s="18">
        <f t="shared" si="19"/>
        <v>7401.1943046524748</v>
      </c>
      <c r="X47" s="18">
        <f t="shared" si="20"/>
        <v>6554.3881343782568</v>
      </c>
      <c r="Y47" s="7"/>
      <c r="Z47" s="18">
        <f t="shared" si="21"/>
        <v>6162.9230089373705</v>
      </c>
      <c r="AA47" s="18">
        <f t="shared" si="22"/>
        <v>5727.0346573385841</v>
      </c>
      <c r="AB47" s="18">
        <f t="shared" si="23"/>
        <v>4541.2546359620792</v>
      </c>
    </row>
    <row r="48" spans="1:28" x14ac:dyDescent="0.35">
      <c r="A48" s="17">
        <v>2045</v>
      </c>
      <c r="B48" s="18">
        <f t="shared" si="12"/>
        <v>14751.963232896078</v>
      </c>
      <c r="C48" s="18">
        <f t="shared" si="13"/>
        <v>12642.95166931679</v>
      </c>
      <c r="D48" s="18">
        <f t="shared" si="14"/>
        <v>15726.855014401408</v>
      </c>
      <c r="F48" s="21">
        <f>'LAT Scenario projections '!D26</f>
        <v>6.7499999999999907E-2</v>
      </c>
      <c r="G48" s="21">
        <f>'LAT Scenario projections '!C26</f>
        <v>0.47500000000000009</v>
      </c>
      <c r="H48" s="21">
        <f>'LAT Scenario projections '!E26</f>
        <v>0</v>
      </c>
      <c r="I48" s="7"/>
      <c r="J48" s="21">
        <f>'LAT Scenario projections '!K26</f>
        <v>0.55000000000000004</v>
      </c>
      <c r="K48" s="21">
        <f>'LAT Scenario projections '!J26</f>
        <v>0.58000000000000007</v>
      </c>
      <c r="L48" s="21">
        <f>'LAT Scenario projections '!L26</f>
        <v>0.45000000000000007</v>
      </c>
      <c r="M48" s="7"/>
      <c r="N48" s="21">
        <f>'LAT Scenario projections '!R26</f>
        <v>0.43576923076923069</v>
      </c>
      <c r="O48" s="21">
        <f>'LAT Scenario projections '!Q26</f>
        <v>0.4555228758169938</v>
      </c>
      <c r="P48" s="21">
        <f>'LAT Scenario projections '!S26</f>
        <v>0.30500000000000016</v>
      </c>
      <c r="R48" s="18">
        <f t="shared" si="15"/>
        <v>995.75751822048392</v>
      </c>
      <c r="S48" s="18">
        <f t="shared" si="16"/>
        <v>6005.4020429254761</v>
      </c>
      <c r="T48" s="18">
        <f t="shared" si="17"/>
        <v>0</v>
      </c>
      <c r="U48" s="7"/>
      <c r="V48" s="18">
        <f t="shared" si="18"/>
        <v>8113.5797780928433</v>
      </c>
      <c r="W48" s="18">
        <f t="shared" si="19"/>
        <v>7332.911968203739</v>
      </c>
      <c r="X48" s="18">
        <f t="shared" si="20"/>
        <v>7077.0847564806345</v>
      </c>
      <c r="Y48" s="7"/>
      <c r="Z48" s="18">
        <f t="shared" si="21"/>
        <v>6428.4516703350973</v>
      </c>
      <c r="AA48" s="18">
        <f t="shared" si="22"/>
        <v>5759.1537032224469</v>
      </c>
      <c r="AB48" s="18">
        <f t="shared" si="23"/>
        <v>4796.690779392432</v>
      </c>
    </row>
    <row r="49" spans="1:28" x14ac:dyDescent="0.35">
      <c r="A49" s="17">
        <v>2046</v>
      </c>
      <c r="B49" s="18">
        <f t="shared" si="12"/>
        <v>14935.411056769473</v>
      </c>
      <c r="C49" s="18">
        <f t="shared" si="13"/>
        <v>12441.150087142878</v>
      </c>
      <c r="D49" s="18">
        <f t="shared" si="14"/>
        <v>15850.530320749798</v>
      </c>
      <c r="F49" s="21">
        <f>'LAT Scenario projections '!D27</f>
        <v>5.3999999999999909E-2</v>
      </c>
      <c r="G49" s="21">
        <f>'LAT Scenario projections '!C27</f>
        <v>0.48000000000000009</v>
      </c>
      <c r="H49" s="21">
        <f>'LAT Scenario projections '!E27</f>
        <v>0</v>
      </c>
      <c r="I49" s="7"/>
      <c r="J49" s="21">
        <f>'LAT Scenario projections '!K27</f>
        <v>0.56400000000000006</v>
      </c>
      <c r="K49" s="21">
        <f>'LAT Scenario projections '!J27</f>
        <v>0.58400000000000007</v>
      </c>
      <c r="L49" s="21">
        <f>'LAT Scenario projections '!L27</f>
        <v>0.48000000000000009</v>
      </c>
      <c r="M49" s="7"/>
      <c r="N49" s="21">
        <f>'LAT Scenario projections '!R27</f>
        <v>0.44861538461538453</v>
      </c>
      <c r="O49" s="21">
        <f>'LAT Scenario projections '!Q27</f>
        <v>0.46533769063180863</v>
      </c>
      <c r="P49" s="21">
        <f>'LAT Scenario projections '!S27</f>
        <v>0.31900000000000017</v>
      </c>
      <c r="R49" s="18">
        <f t="shared" si="15"/>
        <v>806.51219706555025</v>
      </c>
      <c r="S49" s="18">
        <f t="shared" si="16"/>
        <v>5971.7520418285822</v>
      </c>
      <c r="T49" s="18">
        <f t="shared" si="17"/>
        <v>0</v>
      </c>
      <c r="U49" s="7"/>
      <c r="V49" s="18">
        <f t="shared" si="18"/>
        <v>8423.5718360179835</v>
      </c>
      <c r="W49" s="18">
        <f t="shared" si="19"/>
        <v>7265.6316508914415</v>
      </c>
      <c r="X49" s="18">
        <f t="shared" si="20"/>
        <v>7608.254553959905</v>
      </c>
      <c r="Y49" s="7"/>
      <c r="Z49" s="18">
        <f t="shared" si="21"/>
        <v>6700.2551756215043</v>
      </c>
      <c r="AA49" s="18">
        <f t="shared" si="22"/>
        <v>5789.336050354792</v>
      </c>
      <c r="AB49" s="18">
        <f t="shared" si="23"/>
        <v>5056.3191723191885</v>
      </c>
    </row>
    <row r="50" spans="1:28" x14ac:dyDescent="0.35">
      <c r="A50" s="17">
        <v>2047</v>
      </c>
      <c r="B50" s="18">
        <f t="shared" si="12"/>
        <v>15122.343869985234</v>
      </c>
      <c r="C50" s="18">
        <f t="shared" si="13"/>
        <v>12243.544155048601</v>
      </c>
      <c r="D50" s="18">
        <f t="shared" si="14"/>
        <v>15976.449917114525</v>
      </c>
      <c r="F50" s="21">
        <f>'LAT Scenario projections '!D28</f>
        <v>4.0499999999999911E-2</v>
      </c>
      <c r="G50" s="21">
        <f>'LAT Scenario projections '!C28</f>
        <v>0.4850000000000001</v>
      </c>
      <c r="H50" s="21">
        <f>'LAT Scenario projections '!E28</f>
        <v>0</v>
      </c>
      <c r="I50" s="7"/>
      <c r="J50" s="21">
        <f>'LAT Scenario projections '!K28</f>
        <v>0.57800000000000007</v>
      </c>
      <c r="K50" s="21">
        <f>'LAT Scenario projections '!J28</f>
        <v>0.58800000000000008</v>
      </c>
      <c r="L50" s="21">
        <f>'LAT Scenario projections '!L28</f>
        <v>0.51000000000000012</v>
      </c>
      <c r="M50" s="7"/>
      <c r="N50" s="21">
        <f>'LAT Scenario projections '!R28</f>
        <v>0.46146153846153837</v>
      </c>
      <c r="O50" s="21">
        <f>'LAT Scenario projections '!Q28</f>
        <v>0.47515250544662346</v>
      </c>
      <c r="P50" s="21">
        <f>'LAT Scenario projections '!S28</f>
        <v>0.33300000000000018</v>
      </c>
      <c r="R50" s="18">
        <f t="shared" si="15"/>
        <v>612.4549267344006</v>
      </c>
      <c r="S50" s="18">
        <f t="shared" si="16"/>
        <v>5938.1189151985727</v>
      </c>
      <c r="T50" s="18">
        <f t="shared" si="17"/>
        <v>0</v>
      </c>
      <c r="U50" s="7"/>
      <c r="V50" s="18">
        <f t="shared" si="18"/>
        <v>8740.7147568514665</v>
      </c>
      <c r="W50" s="18">
        <f t="shared" si="19"/>
        <v>7199.2039631685784</v>
      </c>
      <c r="X50" s="18">
        <f t="shared" si="20"/>
        <v>8147.9894577284094</v>
      </c>
      <c r="Y50" s="7"/>
      <c r="Z50" s="18">
        <f t="shared" si="21"/>
        <v>6978.3800673878004</v>
      </c>
      <c r="AA50" s="18">
        <f t="shared" si="22"/>
        <v>5817.5506808177051</v>
      </c>
      <c r="AB50" s="18">
        <f t="shared" si="23"/>
        <v>5320.1578223991401</v>
      </c>
    </row>
    <row r="51" spans="1:28" x14ac:dyDescent="0.35">
      <c r="A51" s="17">
        <v>2048</v>
      </c>
      <c r="B51" s="18">
        <f t="shared" si="12"/>
        <v>15312.850531987444</v>
      </c>
      <c r="C51" s="18">
        <f t="shared" si="13"/>
        <v>12050.048055692712</v>
      </c>
      <c r="D51" s="18">
        <f t="shared" si="14"/>
        <v>16104.667843785146</v>
      </c>
      <c r="F51" s="21">
        <f>'LAT Scenario projections '!D29</f>
        <v>2.6999999999999909E-2</v>
      </c>
      <c r="G51" s="21">
        <f>'LAT Scenario projections '!C29</f>
        <v>0.4900000000000001</v>
      </c>
      <c r="H51" s="21">
        <f>'LAT Scenario projections '!E29</f>
        <v>0</v>
      </c>
      <c r="I51" s="7"/>
      <c r="J51" s="21">
        <f>'LAT Scenario projections '!K29</f>
        <v>0.59200000000000008</v>
      </c>
      <c r="K51" s="21">
        <f>'LAT Scenario projections '!J29</f>
        <v>0.59200000000000008</v>
      </c>
      <c r="L51" s="21">
        <f>'LAT Scenario projections '!L29</f>
        <v>0.54000000000000015</v>
      </c>
      <c r="M51" s="7"/>
      <c r="N51" s="21">
        <f>'LAT Scenario projections '!R29</f>
        <v>0.47430769230769221</v>
      </c>
      <c r="O51" s="21">
        <f>'LAT Scenario projections '!Q29</f>
        <v>0.48496732026143829</v>
      </c>
      <c r="P51" s="21">
        <f>'LAT Scenario projections '!S29</f>
        <v>0.3470000000000002</v>
      </c>
      <c r="R51" s="18">
        <f t="shared" si="15"/>
        <v>413.44696436365962</v>
      </c>
      <c r="S51" s="18">
        <f t="shared" si="16"/>
        <v>5904.5235472894301</v>
      </c>
      <c r="T51" s="18">
        <f t="shared" si="17"/>
        <v>0</v>
      </c>
      <c r="U51" s="7"/>
      <c r="V51" s="18">
        <f t="shared" si="18"/>
        <v>9065.2075149365683</v>
      </c>
      <c r="W51" s="18">
        <f t="shared" si="19"/>
        <v>7133.6284489700865</v>
      </c>
      <c r="X51" s="18">
        <f t="shared" si="20"/>
        <v>8696.5206356439812</v>
      </c>
      <c r="Y51" s="7"/>
      <c r="Z51" s="18">
        <f t="shared" si="21"/>
        <v>7263.0027984795815</v>
      </c>
      <c r="AA51" s="18">
        <f t="shared" si="22"/>
        <v>5843.8795145908498</v>
      </c>
      <c r="AB51" s="18">
        <f t="shared" si="23"/>
        <v>5588.3197417934489</v>
      </c>
    </row>
    <row r="52" spans="1:28" x14ac:dyDescent="0.35">
      <c r="A52" s="17">
        <v>2049</v>
      </c>
      <c r="B52" s="18">
        <f t="shared" si="12"/>
        <v>15507.526036046385</v>
      </c>
      <c r="C52" s="18">
        <f t="shared" si="13"/>
        <v>11860.962899689839</v>
      </c>
      <c r="D52" s="18">
        <f t="shared" si="14"/>
        <v>16235.766740481369</v>
      </c>
      <c r="F52" s="21">
        <f>'LAT Scenario projections '!D30</f>
        <v>1.3499999999999908E-2</v>
      </c>
      <c r="G52" s="21">
        <f>'LAT Scenario projections '!C30</f>
        <v>0.49500000000000011</v>
      </c>
      <c r="H52" s="21">
        <f>'LAT Scenario projections '!E30</f>
        <v>0</v>
      </c>
      <c r="I52" s="7"/>
      <c r="J52" s="21">
        <f>'LAT Scenario projections '!K30</f>
        <v>0.60600000000000009</v>
      </c>
      <c r="K52" s="21">
        <f>'LAT Scenario projections '!J30</f>
        <v>0.59600000000000009</v>
      </c>
      <c r="L52" s="21">
        <f>'LAT Scenario projections '!L30</f>
        <v>0.57000000000000017</v>
      </c>
      <c r="M52" s="7"/>
      <c r="N52" s="21">
        <f>'LAT Scenario projections '!R30</f>
        <v>0.48715384615384605</v>
      </c>
      <c r="O52" s="21">
        <f>'LAT Scenario projections '!Q30</f>
        <v>0.49478213507625313</v>
      </c>
      <c r="P52" s="21">
        <f>'LAT Scenario projections '!S30</f>
        <v>0.36100000000000021</v>
      </c>
      <c r="R52" s="18">
        <f t="shared" si="15"/>
        <v>209.35160148662479</v>
      </c>
      <c r="S52" s="18">
        <f t="shared" si="16"/>
        <v>5871.1766353464718</v>
      </c>
      <c r="T52" s="18">
        <f t="shared" si="17"/>
        <v>0</v>
      </c>
      <c r="U52" s="7"/>
      <c r="V52" s="18">
        <f t="shared" si="18"/>
        <v>9397.5607778441117</v>
      </c>
      <c r="W52" s="18">
        <f t="shared" si="19"/>
        <v>7069.1338882151449</v>
      </c>
      <c r="X52" s="18">
        <f t="shared" si="20"/>
        <v>9254.3870420743824</v>
      </c>
      <c r="Y52" s="7"/>
      <c r="Z52" s="18">
        <f t="shared" si="21"/>
        <v>7554.5509527909026</v>
      </c>
      <c r="AA52" s="18">
        <f t="shared" si="22"/>
        <v>5868.5925475687645</v>
      </c>
      <c r="AB52" s="18">
        <f t="shared" si="23"/>
        <v>5861.1117933137775</v>
      </c>
    </row>
    <row r="53" spans="1:28" x14ac:dyDescent="0.35">
      <c r="A53" s="17">
        <v>2050</v>
      </c>
      <c r="B53" s="18">
        <f t="shared" si="12"/>
        <v>15704.266429035395</v>
      </c>
      <c r="C53" s="18">
        <f t="shared" si="13"/>
        <v>11674.539962381392</v>
      </c>
      <c r="D53" s="18">
        <f t="shared" si="14"/>
        <v>16367.505458322834</v>
      </c>
      <c r="F53" s="21">
        <f>'LAT Scenario projections '!D31</f>
        <v>0</v>
      </c>
      <c r="G53" s="21">
        <f>'LAT Scenario projections '!C31</f>
        <v>0.5</v>
      </c>
      <c r="H53" s="21">
        <f>'LAT Scenario projections '!E31</f>
        <v>0</v>
      </c>
      <c r="I53" s="7"/>
      <c r="J53" s="21">
        <f>'LAT Scenario projections '!K31</f>
        <v>0.62</v>
      </c>
      <c r="K53" s="21">
        <f>'LAT Scenario projections '!J31</f>
        <v>0.6</v>
      </c>
      <c r="L53" s="21">
        <f>'LAT Scenario projections '!L31</f>
        <v>0.6</v>
      </c>
      <c r="M53" s="7"/>
      <c r="N53" s="21">
        <f>'LAT Scenario projections '!R31</f>
        <v>0.5</v>
      </c>
      <c r="O53" s="21">
        <f>'LAT Scenario projections '!Q31</f>
        <v>0.495</v>
      </c>
      <c r="P53" s="21">
        <f>'LAT Scenario projections '!S31</f>
        <v>0.375</v>
      </c>
      <c r="R53" s="18">
        <f t="shared" si="15"/>
        <v>0</v>
      </c>
      <c r="S53" s="18">
        <f t="shared" si="16"/>
        <v>5837.2699811906959</v>
      </c>
      <c r="T53" s="18">
        <f t="shared" si="17"/>
        <v>0</v>
      </c>
      <c r="U53" s="7"/>
      <c r="V53" s="18">
        <f t="shared" si="18"/>
        <v>9736.6451860019442</v>
      </c>
      <c r="W53" s="18">
        <f t="shared" si="19"/>
        <v>7004.7239774288346</v>
      </c>
      <c r="X53" s="18">
        <f t="shared" si="20"/>
        <v>9820.5032749937</v>
      </c>
      <c r="Y53" s="7"/>
      <c r="Z53" s="18">
        <f t="shared" si="21"/>
        <v>7852.1332145176975</v>
      </c>
      <c r="AA53" s="18">
        <f t="shared" si="22"/>
        <v>5778.8972813787886</v>
      </c>
      <c r="AB53" s="18">
        <f t="shared" si="23"/>
        <v>6137.8145468710627</v>
      </c>
    </row>
    <row r="54" spans="1:28" x14ac:dyDescent="0.35">
      <c r="E54" s="7"/>
      <c r="I54" s="7"/>
      <c r="J54" s="7"/>
      <c r="K54" s="7"/>
      <c r="L54" s="7"/>
      <c r="M54" s="7"/>
      <c r="N54" s="7"/>
      <c r="O54" s="7"/>
      <c r="P54" s="7"/>
      <c r="Q54" s="7"/>
      <c r="U54" s="7"/>
      <c r="V54" s="7"/>
      <c r="W54" s="7"/>
      <c r="X54" s="7"/>
      <c r="Y54" s="7"/>
      <c r="Z54" s="7"/>
      <c r="AA54" s="7"/>
    </row>
    <row r="55" spans="1:28" x14ac:dyDescent="0.35">
      <c r="C55" s="7"/>
      <c r="D55" s="7"/>
    </row>
    <row r="57" spans="1:28" ht="32" customHeight="1" x14ac:dyDescent="0.35">
      <c r="A57" s="11" t="s">
        <v>126</v>
      </c>
      <c r="B57" s="11" t="s">
        <v>130</v>
      </c>
      <c r="C57" s="11" t="s">
        <v>131</v>
      </c>
      <c r="D57" s="11" t="s">
        <v>132</v>
      </c>
      <c r="E57" s="11" t="s">
        <v>129</v>
      </c>
    </row>
    <row r="58" spans="1:28" x14ac:dyDescent="0.35">
      <c r="A58" s="17">
        <v>2000</v>
      </c>
      <c r="B58" s="34">
        <v>6686</v>
      </c>
      <c r="C58" s="18">
        <f t="shared" ref="C58:C81" si="24">B58*1000</f>
        <v>6686000</v>
      </c>
      <c r="D58" s="13">
        <v>2367550</v>
      </c>
      <c r="E58" s="45">
        <f t="shared" ref="E58:E81" si="25">C58/D58</f>
        <v>2.824016388249456</v>
      </c>
    </row>
    <row r="59" spans="1:28" x14ac:dyDescent="0.35">
      <c r="A59" s="17">
        <v>2001</v>
      </c>
      <c r="B59" s="34">
        <v>7109</v>
      </c>
      <c r="C59" s="18">
        <f t="shared" si="24"/>
        <v>7109000</v>
      </c>
      <c r="D59" s="13">
        <v>2337170</v>
      </c>
      <c r="E59" s="45">
        <f t="shared" si="25"/>
        <v>3.0417128407432923</v>
      </c>
    </row>
    <row r="60" spans="1:28" x14ac:dyDescent="0.35">
      <c r="A60" s="17">
        <v>2002</v>
      </c>
      <c r="B60" s="34">
        <v>7212</v>
      </c>
      <c r="C60" s="18">
        <f t="shared" si="24"/>
        <v>7212000</v>
      </c>
      <c r="D60" s="13">
        <v>2310173</v>
      </c>
      <c r="E60" s="45">
        <f t="shared" si="25"/>
        <v>3.1218441216307178</v>
      </c>
    </row>
    <row r="61" spans="1:28" x14ac:dyDescent="0.35">
      <c r="A61" s="17">
        <v>2003</v>
      </c>
      <c r="B61" s="34">
        <v>7296</v>
      </c>
      <c r="C61" s="18">
        <f t="shared" si="24"/>
        <v>7296000</v>
      </c>
      <c r="D61" s="13">
        <v>2287955</v>
      </c>
      <c r="E61" s="45">
        <f t="shared" si="25"/>
        <v>3.1888739070479972</v>
      </c>
    </row>
    <row r="62" spans="1:28" x14ac:dyDescent="0.35">
      <c r="A62" s="17">
        <v>2004</v>
      </c>
      <c r="B62" s="34">
        <v>7781</v>
      </c>
      <c r="C62" s="18">
        <f t="shared" si="24"/>
        <v>7781000</v>
      </c>
      <c r="D62" s="13">
        <v>2263122</v>
      </c>
      <c r="E62" s="45">
        <f t="shared" si="25"/>
        <v>3.4381708100579642</v>
      </c>
    </row>
    <row r="63" spans="1:28" x14ac:dyDescent="0.35">
      <c r="A63" s="17">
        <v>2005</v>
      </c>
      <c r="B63" s="34">
        <v>8199</v>
      </c>
      <c r="C63" s="18">
        <f t="shared" si="24"/>
        <v>8199000</v>
      </c>
      <c r="D63" s="13">
        <v>2238799</v>
      </c>
      <c r="E63" s="45">
        <f t="shared" si="25"/>
        <v>3.6622314017470976</v>
      </c>
    </row>
    <row r="64" spans="1:28" x14ac:dyDescent="0.35">
      <c r="A64" s="17">
        <v>2006</v>
      </c>
      <c r="B64" s="34">
        <v>8627</v>
      </c>
      <c r="C64" s="18">
        <f t="shared" si="24"/>
        <v>8627000</v>
      </c>
      <c r="D64" s="13">
        <v>2218357</v>
      </c>
      <c r="E64" s="45">
        <f t="shared" si="25"/>
        <v>3.8889141828839993</v>
      </c>
    </row>
    <row r="65" spans="1:10" x14ac:dyDescent="0.35">
      <c r="A65" s="17">
        <v>2007</v>
      </c>
      <c r="B65" s="34">
        <v>8416</v>
      </c>
      <c r="C65" s="18">
        <f t="shared" si="24"/>
        <v>8416000</v>
      </c>
      <c r="D65" s="13">
        <v>2200325</v>
      </c>
      <c r="E65" s="45">
        <f t="shared" si="25"/>
        <v>3.8248895049594944</v>
      </c>
    </row>
    <row r="66" spans="1:10" x14ac:dyDescent="0.35">
      <c r="A66" s="17">
        <v>2008</v>
      </c>
      <c r="B66" s="34">
        <v>8983</v>
      </c>
      <c r="C66" s="18">
        <f t="shared" si="24"/>
        <v>8983000</v>
      </c>
      <c r="D66" s="13">
        <v>2177322</v>
      </c>
      <c r="E66" s="45">
        <f t="shared" si="25"/>
        <v>4.1257103910216308</v>
      </c>
    </row>
    <row r="67" spans="1:10" x14ac:dyDescent="0.35">
      <c r="A67" s="17">
        <v>2009</v>
      </c>
      <c r="B67" s="34">
        <v>8302</v>
      </c>
      <c r="C67" s="18">
        <f t="shared" si="24"/>
        <v>8302000</v>
      </c>
      <c r="D67" s="13">
        <v>2141669</v>
      </c>
      <c r="E67" s="45">
        <f t="shared" si="25"/>
        <v>3.8764160101304168</v>
      </c>
    </row>
    <row r="68" spans="1:10" x14ac:dyDescent="0.35">
      <c r="A68" s="17">
        <v>2010</v>
      </c>
      <c r="B68" s="34">
        <v>9694</v>
      </c>
      <c r="C68" s="18">
        <f t="shared" si="24"/>
        <v>9694000</v>
      </c>
      <c r="D68" s="13">
        <v>2097555</v>
      </c>
      <c r="E68" s="45">
        <f t="shared" si="25"/>
        <v>4.6215713056391845</v>
      </c>
    </row>
    <row r="69" spans="1:10" x14ac:dyDescent="0.35">
      <c r="A69" s="17">
        <v>2011</v>
      </c>
      <c r="B69" s="34">
        <v>9607</v>
      </c>
      <c r="C69" s="18">
        <f t="shared" si="24"/>
        <v>9607000</v>
      </c>
      <c r="D69" s="13">
        <v>2059709</v>
      </c>
      <c r="E69" s="45">
        <f t="shared" si="25"/>
        <v>4.6642511150847037</v>
      </c>
    </row>
    <row r="70" spans="1:10" x14ac:dyDescent="0.35">
      <c r="A70" s="17">
        <v>2012</v>
      </c>
      <c r="B70" s="34">
        <v>10540</v>
      </c>
      <c r="C70" s="18">
        <f t="shared" si="24"/>
        <v>10540000</v>
      </c>
      <c r="D70" s="13">
        <v>2034319</v>
      </c>
      <c r="E70" s="45">
        <f t="shared" si="25"/>
        <v>5.1810950003416378</v>
      </c>
    </row>
    <row r="71" spans="1:10" x14ac:dyDescent="0.35">
      <c r="A71" s="17">
        <v>2013</v>
      </c>
      <c r="B71" s="34">
        <v>9934</v>
      </c>
      <c r="C71" s="18">
        <f t="shared" si="24"/>
        <v>9934000</v>
      </c>
      <c r="D71" s="13">
        <v>2012647</v>
      </c>
      <c r="E71" s="45">
        <f t="shared" si="25"/>
        <v>4.9357885411599751</v>
      </c>
    </row>
    <row r="72" spans="1:10" x14ac:dyDescent="0.35">
      <c r="A72" s="17">
        <v>2014</v>
      </c>
      <c r="B72" s="34">
        <v>10120</v>
      </c>
      <c r="C72" s="18">
        <f t="shared" si="24"/>
        <v>10120000</v>
      </c>
      <c r="D72" s="13">
        <v>1993782</v>
      </c>
      <c r="E72" s="45">
        <f t="shared" si="25"/>
        <v>5.0757806018912799</v>
      </c>
    </row>
    <row r="73" spans="1:10" x14ac:dyDescent="0.35">
      <c r="A73" s="17">
        <v>2015</v>
      </c>
      <c r="B73" s="34">
        <v>10213</v>
      </c>
      <c r="C73" s="18">
        <f t="shared" si="24"/>
        <v>10213000</v>
      </c>
      <c r="D73" s="13">
        <v>1977527</v>
      </c>
      <c r="E73" s="45">
        <f t="shared" si="25"/>
        <v>5.1645312554518847</v>
      </c>
    </row>
    <row r="74" spans="1:10" x14ac:dyDescent="0.35">
      <c r="A74" s="17">
        <v>2016</v>
      </c>
      <c r="B74" s="34">
        <v>9458</v>
      </c>
      <c r="C74" s="18">
        <f t="shared" si="24"/>
        <v>9458000</v>
      </c>
      <c r="D74" s="13">
        <v>1959537</v>
      </c>
      <c r="E74" s="45">
        <f t="shared" si="25"/>
        <v>4.8266503771043876</v>
      </c>
    </row>
    <row r="75" spans="1:10" x14ac:dyDescent="0.35">
      <c r="A75" s="17">
        <v>2017</v>
      </c>
      <c r="B75" s="34">
        <v>9971</v>
      </c>
      <c r="C75" s="18">
        <f t="shared" si="24"/>
        <v>9971000</v>
      </c>
      <c r="D75" s="13">
        <v>1942248</v>
      </c>
      <c r="E75" s="45">
        <f t="shared" si="25"/>
        <v>5.1337419320292774</v>
      </c>
    </row>
    <row r="76" spans="1:10" x14ac:dyDescent="0.35">
      <c r="A76" s="17">
        <v>2018</v>
      </c>
      <c r="B76" s="34">
        <v>11301</v>
      </c>
      <c r="C76" s="18">
        <f t="shared" si="24"/>
        <v>11301000</v>
      </c>
      <c r="D76" s="13">
        <v>1927174</v>
      </c>
      <c r="E76" s="45">
        <f t="shared" si="25"/>
        <v>5.8640268081657387</v>
      </c>
    </row>
    <row r="77" spans="1:10" x14ac:dyDescent="0.35">
      <c r="A77" s="17">
        <v>2019</v>
      </c>
      <c r="B77" s="34">
        <v>10647</v>
      </c>
      <c r="C77" s="18">
        <f t="shared" si="24"/>
        <v>10647000</v>
      </c>
      <c r="D77" s="13">
        <v>1913822</v>
      </c>
      <c r="E77" s="45">
        <f t="shared" si="25"/>
        <v>5.5632132977884048</v>
      </c>
    </row>
    <row r="78" spans="1:10" x14ac:dyDescent="0.35">
      <c r="A78" s="17">
        <v>2020</v>
      </c>
      <c r="B78" s="34">
        <v>11004</v>
      </c>
      <c r="C78" s="18">
        <f t="shared" si="24"/>
        <v>11004000</v>
      </c>
      <c r="D78" s="13">
        <v>1900449</v>
      </c>
      <c r="E78" s="45">
        <f t="shared" si="25"/>
        <v>5.7902106291723694</v>
      </c>
    </row>
    <row r="79" spans="1:10" x14ac:dyDescent="0.35">
      <c r="A79" s="17">
        <v>2021</v>
      </c>
      <c r="B79" s="34">
        <v>11445</v>
      </c>
      <c r="C79" s="18">
        <f t="shared" si="24"/>
        <v>11445000</v>
      </c>
      <c r="D79" s="13">
        <v>1884490</v>
      </c>
      <c r="E79" s="45">
        <f t="shared" si="25"/>
        <v>6.0732612006431452</v>
      </c>
      <c r="H79" s="9" t="s">
        <v>136</v>
      </c>
    </row>
    <row r="80" spans="1:10" x14ac:dyDescent="0.35">
      <c r="A80" s="17">
        <v>2022</v>
      </c>
      <c r="B80" s="34">
        <v>11420</v>
      </c>
      <c r="C80" s="18">
        <f t="shared" si="24"/>
        <v>11420000</v>
      </c>
      <c r="D80" s="13">
        <v>1879383</v>
      </c>
      <c r="E80" s="45">
        <f t="shared" si="25"/>
        <v>6.0764623283279668</v>
      </c>
      <c r="J80" s="7"/>
    </row>
    <row r="81" spans="1:6" x14ac:dyDescent="0.35">
      <c r="A81" s="17">
        <v>2023</v>
      </c>
      <c r="B81" s="34">
        <v>11700</v>
      </c>
      <c r="C81" s="18">
        <f t="shared" si="24"/>
        <v>11700000</v>
      </c>
      <c r="D81" s="13">
        <v>1883710</v>
      </c>
      <c r="E81" s="45">
        <f t="shared" si="25"/>
        <v>6.2111471511007537</v>
      </c>
      <c r="F81" s="19">
        <f>(E81/E72)^(1/10)-1</f>
        <v>2.0391653792255715E-2</v>
      </c>
    </row>
    <row r="82" spans="1:6" x14ac:dyDescent="0.35">
      <c r="A82" s="17">
        <v>2024</v>
      </c>
      <c r="B82" s="34">
        <v>11598</v>
      </c>
      <c r="C82" s="18">
        <f t="shared" ref="C82:C107" si="26">D82*E82</f>
        <v>11827125.750850514</v>
      </c>
      <c r="D82" s="13">
        <v>1866124</v>
      </c>
      <c r="E82" s="46">
        <v>6.3378027134587596</v>
      </c>
      <c r="F82" s="19">
        <f>E81*(1+F81)</f>
        <v>6.337802713458756</v>
      </c>
    </row>
    <row r="83" spans="1:6" x14ac:dyDescent="0.35">
      <c r="A83" s="17">
        <v>2025</v>
      </c>
      <c r="B83" s="18">
        <f t="shared" ref="B83:B108" si="27">C83/1000</f>
        <v>12048.672935108019</v>
      </c>
      <c r="C83" s="18">
        <f t="shared" si="26"/>
        <v>12048672.935108019</v>
      </c>
      <c r="D83" s="13">
        <v>1863089</v>
      </c>
      <c r="E83" s="46">
        <v>6.4670409921952299</v>
      </c>
      <c r="F83" s="19">
        <f t="shared" ref="F83:F109" si="28">F82*(1+F$81)</f>
        <v>6.4670409921952254</v>
      </c>
    </row>
    <row r="84" spans="1:6" x14ac:dyDescent="0.35">
      <c r="A84" s="17">
        <v>2026</v>
      </c>
      <c r="B84" s="18">
        <f t="shared" si="27"/>
        <v>12157.899747229339</v>
      </c>
      <c r="C84" s="18">
        <f t="shared" si="26"/>
        <v>12157899.74722934</v>
      </c>
      <c r="D84" s="13">
        <v>1842409</v>
      </c>
      <c r="E84" s="46">
        <v>6.5989146531684</v>
      </c>
      <c r="F84" s="19">
        <f t="shared" si="28"/>
        <v>6.5989146531683964</v>
      </c>
    </row>
    <row r="85" spans="1:6" x14ac:dyDescent="0.35">
      <c r="A85" s="17">
        <v>2027</v>
      </c>
      <c r="B85" s="18">
        <f t="shared" si="27"/>
        <v>12262.948505474909</v>
      </c>
      <c r="C85" s="18">
        <f t="shared" si="26"/>
        <v>12262948.50547491</v>
      </c>
      <c r="D85" s="13">
        <v>1821191</v>
      </c>
      <c r="E85" s="46">
        <v>6.7334774361804497</v>
      </c>
      <c r="F85" s="19">
        <f t="shared" si="28"/>
        <v>6.7334774361804497</v>
      </c>
    </row>
    <row r="86" spans="1:6" x14ac:dyDescent="0.35">
      <c r="A86" s="17">
        <v>2028</v>
      </c>
      <c r="B86" s="18">
        <f t="shared" si="27"/>
        <v>12362.059177504832</v>
      </c>
      <c r="C86" s="18">
        <f t="shared" si="26"/>
        <v>12362059.177504832</v>
      </c>
      <c r="D86" s="13">
        <v>1799221</v>
      </c>
      <c r="E86" s="46">
        <v>6.8707841768770104</v>
      </c>
      <c r="F86" s="19">
        <f t="shared" si="28"/>
        <v>6.8707841768770068</v>
      </c>
    </row>
    <row r="87" spans="1:6" x14ac:dyDescent="0.35">
      <c r="A87" s="17">
        <v>2029</v>
      </c>
      <c r="B87" s="18">
        <f t="shared" si="27"/>
        <v>12462.552526905225</v>
      </c>
      <c r="C87" s="18">
        <f t="shared" si="26"/>
        <v>12462552.526905226</v>
      </c>
      <c r="D87" s="13">
        <v>1777599</v>
      </c>
      <c r="E87" s="46">
        <v>7.0108908290931904</v>
      </c>
      <c r="F87" s="19">
        <f t="shared" si="28"/>
        <v>7.0108908290931913</v>
      </c>
    </row>
    <row r="88" spans="1:6" x14ac:dyDescent="0.35">
      <c r="A88" s="17">
        <v>2030</v>
      </c>
      <c r="B88" s="18">
        <f t="shared" si="27"/>
        <v>12564.557867721687</v>
      </c>
      <c r="C88" s="18">
        <f t="shared" si="26"/>
        <v>12564557.867721688</v>
      </c>
      <c r="D88" s="13">
        <v>1756334</v>
      </c>
      <c r="E88" s="46">
        <v>7.1538544876553596</v>
      </c>
      <c r="F88" s="19">
        <f t="shared" si="28"/>
        <v>7.1538544876553605</v>
      </c>
    </row>
    <row r="89" spans="1:6" x14ac:dyDescent="0.35">
      <c r="A89" s="17">
        <v>2031</v>
      </c>
      <c r="B89" s="18">
        <f t="shared" si="27"/>
        <v>12668.643537514288</v>
      </c>
      <c r="C89" s="18">
        <f t="shared" si="26"/>
        <v>12668643.537514288</v>
      </c>
      <c r="D89" s="13">
        <v>1735494</v>
      </c>
      <c r="E89" s="46">
        <v>7.2997334116478001</v>
      </c>
      <c r="F89" s="19">
        <f t="shared" si="28"/>
        <v>7.2997334116478036</v>
      </c>
    </row>
    <row r="90" spans="1:6" x14ac:dyDescent="0.35">
      <c r="A90" s="17">
        <v>2032</v>
      </c>
      <c r="B90" s="18">
        <f t="shared" si="27"/>
        <v>12776.643298155896</v>
      </c>
      <c r="C90" s="18">
        <f t="shared" si="26"/>
        <v>12776643.298155896</v>
      </c>
      <c r="D90" s="13">
        <v>1715311</v>
      </c>
      <c r="E90" s="46">
        <v>7.4485870481538896</v>
      </c>
      <c r="F90" s="19">
        <f t="shared" si="28"/>
        <v>7.4485870481538869</v>
      </c>
    </row>
    <row r="91" spans="1:6" x14ac:dyDescent="0.35">
      <c r="A91" s="17">
        <v>2033</v>
      </c>
      <c r="B91" s="18">
        <f t="shared" si="27"/>
        <v>12889.434530857088</v>
      </c>
      <c r="C91" s="18">
        <f t="shared" si="26"/>
        <v>12889434.530857088</v>
      </c>
      <c r="D91" s="13">
        <v>1695872</v>
      </c>
      <c r="E91" s="46">
        <v>7.6004760564813196</v>
      </c>
      <c r="F91" s="19">
        <f t="shared" si="28"/>
        <v>7.6004760564813205</v>
      </c>
    </row>
    <row r="92" spans="1:6" x14ac:dyDescent="0.35">
      <c r="A92" s="17">
        <v>2034</v>
      </c>
      <c r="B92" s="18">
        <f t="shared" si="27"/>
        <v>13007.732865890368</v>
      </c>
      <c r="C92" s="18">
        <f t="shared" si="26"/>
        <v>13007732.865890369</v>
      </c>
      <c r="D92" s="13">
        <v>1677235</v>
      </c>
      <c r="E92" s="46">
        <v>7.7554623328814198</v>
      </c>
      <c r="F92" s="19">
        <f t="shared" si="28"/>
        <v>7.7554623328814163</v>
      </c>
    </row>
    <row r="93" spans="1:6" x14ac:dyDescent="0.35">
      <c r="A93" s="17">
        <v>2035</v>
      </c>
      <c r="B93" s="18">
        <f t="shared" si="27"/>
        <v>13142.613255858423</v>
      </c>
      <c r="C93" s="18">
        <f t="shared" si="26"/>
        <v>13142613.255858423</v>
      </c>
      <c r="D93" s="13">
        <v>1660761</v>
      </c>
      <c r="E93" s="46">
        <v>7.91360903577241</v>
      </c>
      <c r="F93" s="19">
        <f t="shared" si="28"/>
        <v>7.9136090357724136</v>
      </c>
    </row>
    <row r="94" spans="1:6" x14ac:dyDescent="0.35">
      <c r="A94" s="17">
        <v>2036</v>
      </c>
      <c r="B94" s="18">
        <f t="shared" si="27"/>
        <v>13282.947431829949</v>
      </c>
      <c r="C94" s="18">
        <f t="shared" si="26"/>
        <v>13282947.43182995</v>
      </c>
      <c r="D94" s="13">
        <v>1644951</v>
      </c>
      <c r="E94" s="46">
        <v>8.0749806114771498</v>
      </c>
      <c r="F94" s="19">
        <f t="shared" si="28"/>
        <v>8.0749806114771516</v>
      </c>
    </row>
    <row r="95" spans="1:6" x14ac:dyDescent="0.35">
      <c r="A95" s="17">
        <v>2037</v>
      </c>
      <c r="B95" s="18">
        <f t="shared" si="27"/>
        <v>13428.030549545845</v>
      </c>
      <c r="C95" s="18">
        <f t="shared" si="26"/>
        <v>13428030.549545845</v>
      </c>
      <c r="D95" s="13">
        <v>1629686</v>
      </c>
      <c r="E95" s="46">
        <v>8.2396428204855692</v>
      </c>
      <c r="F95" s="19">
        <f t="shared" si="28"/>
        <v>8.239642820485571</v>
      </c>
    </row>
    <row r="96" spans="1:6" x14ac:dyDescent="0.35">
      <c r="A96" s="17">
        <v>2038</v>
      </c>
      <c r="B96" s="18">
        <f t="shared" si="27"/>
        <v>13578.526702197965</v>
      </c>
      <c r="C96" s="18">
        <f t="shared" si="26"/>
        <v>13578526.702197965</v>
      </c>
      <c r="D96" s="13">
        <v>1615018</v>
      </c>
      <c r="E96" s="46">
        <v>8.4076627642527608</v>
      </c>
      <c r="F96" s="19">
        <f t="shared" si="28"/>
        <v>8.4076627642527573</v>
      </c>
    </row>
    <row r="97" spans="1:31" x14ac:dyDescent="0.35">
      <c r="A97" s="17">
        <v>2039</v>
      </c>
      <c r="B97" s="18">
        <f t="shared" si="27"/>
        <v>13732.957117100435</v>
      </c>
      <c r="C97" s="18">
        <f t="shared" si="26"/>
        <v>13732957.117100436</v>
      </c>
      <c r="D97" s="13">
        <v>1600744</v>
      </c>
      <c r="E97" s="46">
        <v>8.5791089125434397</v>
      </c>
      <c r="F97" s="19">
        <f t="shared" si="28"/>
        <v>8.5791089125434397</v>
      </c>
    </row>
    <row r="98" spans="1:31" x14ac:dyDescent="0.35">
      <c r="A98" s="17">
        <v>2040</v>
      </c>
      <c r="B98" s="18">
        <f t="shared" si="27"/>
        <v>13892.11888615478</v>
      </c>
      <c r="C98" s="18">
        <f t="shared" si="26"/>
        <v>13892118.88615478</v>
      </c>
      <c r="D98" s="13">
        <v>1586936</v>
      </c>
      <c r="E98" s="46">
        <v>8.7540511313340801</v>
      </c>
      <c r="F98" s="19">
        <f t="shared" si="28"/>
        <v>8.7540511313340801</v>
      </c>
    </row>
    <row r="99" spans="1:31" x14ac:dyDescent="0.35">
      <c r="A99" s="17">
        <v>2041</v>
      </c>
      <c r="B99" s="18">
        <f t="shared" si="27"/>
        <v>14056.072086380063</v>
      </c>
      <c r="C99" s="18">
        <f t="shared" si="26"/>
        <v>14056072.086380063</v>
      </c>
      <c r="D99" s="13">
        <v>1573577</v>
      </c>
      <c r="E99" s="46">
        <v>8.9325607112839496</v>
      </c>
      <c r="F99" s="19">
        <f t="shared" si="28"/>
        <v>8.9325607112839496</v>
      </c>
    </row>
    <row r="100" spans="1:31" x14ac:dyDescent="0.35">
      <c r="A100" s="17">
        <v>2042</v>
      </c>
      <c r="B100" s="18">
        <f t="shared" si="27"/>
        <v>14224.234751017482</v>
      </c>
      <c r="C100" s="18">
        <f t="shared" si="26"/>
        <v>14224234.751017483</v>
      </c>
      <c r="D100" s="13">
        <v>1560580</v>
      </c>
      <c r="E100" s="46">
        <v>9.1147103967867604</v>
      </c>
      <c r="F100" s="19">
        <f t="shared" si="28"/>
        <v>9.1147103967867569</v>
      </c>
    </row>
    <row r="101" spans="1:31" x14ac:dyDescent="0.35">
      <c r="A101" s="17">
        <v>2043</v>
      </c>
      <c r="B101" s="18">
        <f t="shared" si="27"/>
        <v>14396.37773907884</v>
      </c>
      <c r="C101" s="18">
        <f t="shared" si="26"/>
        <v>14396377.73907884</v>
      </c>
      <c r="D101" s="13">
        <v>1547902</v>
      </c>
      <c r="E101" s="46">
        <v>9.3005744156147099</v>
      </c>
      <c r="F101" s="19">
        <f t="shared" si="28"/>
        <v>9.3005744156147063</v>
      </c>
    </row>
    <row r="102" spans="1:31" x14ac:dyDescent="0.35">
      <c r="A102" s="17">
        <v>2044</v>
      </c>
      <c r="B102" s="18">
        <f t="shared" si="27"/>
        <v>14572.207914911938</v>
      </c>
      <c r="C102" s="18">
        <f t="shared" si="26"/>
        <v>14572207.914911939</v>
      </c>
      <c r="D102" s="13">
        <v>1535496</v>
      </c>
      <c r="E102" s="46">
        <v>9.4902285091670304</v>
      </c>
      <c r="F102" s="19">
        <f t="shared" si="28"/>
        <v>9.4902285091670322</v>
      </c>
    </row>
    <row r="103" spans="1:31" x14ac:dyDescent="0.35">
      <c r="A103" s="17">
        <v>2045</v>
      </c>
      <c r="B103" s="18">
        <f t="shared" si="27"/>
        <v>14751.963232896078</v>
      </c>
      <c r="C103" s="18">
        <f t="shared" si="26"/>
        <v>14751963.232896078</v>
      </c>
      <c r="D103" s="13">
        <v>1523373</v>
      </c>
      <c r="E103" s="46">
        <v>9.6837499633353605</v>
      </c>
      <c r="F103" s="19">
        <f t="shared" si="28"/>
        <v>9.6837499633353605</v>
      </c>
    </row>
    <row r="104" spans="1:31" x14ac:dyDescent="0.35">
      <c r="A104" s="17">
        <v>2046</v>
      </c>
      <c r="B104" s="18">
        <f t="shared" si="27"/>
        <v>14935.411056769473</v>
      </c>
      <c r="C104" s="18">
        <f t="shared" si="26"/>
        <v>14935411.056769473</v>
      </c>
      <c r="D104" s="13">
        <v>1511495</v>
      </c>
      <c r="E104" s="46">
        <v>9.8812176399984608</v>
      </c>
      <c r="F104" s="19">
        <f t="shared" si="28"/>
        <v>9.8812176399984644</v>
      </c>
    </row>
    <row r="105" spans="1:31" x14ac:dyDescent="0.35">
      <c r="A105" s="17">
        <v>2047</v>
      </c>
      <c r="B105" s="18">
        <f t="shared" si="27"/>
        <v>15122.343869985234</v>
      </c>
      <c r="C105" s="18">
        <f t="shared" si="26"/>
        <v>15122343.869985234</v>
      </c>
      <c r="D105" s="13">
        <v>1499829</v>
      </c>
      <c r="E105" s="46">
        <v>10.0827120091592</v>
      </c>
      <c r="F105" s="19">
        <f t="shared" si="28"/>
        <v>10.082712009159243</v>
      </c>
    </row>
    <row r="106" spans="1:31" x14ac:dyDescent="0.35">
      <c r="A106" s="17">
        <v>2048</v>
      </c>
      <c r="B106" s="18">
        <f t="shared" si="27"/>
        <v>15312.850531987444</v>
      </c>
      <c r="C106" s="18">
        <f t="shared" si="26"/>
        <v>15312850.531987444</v>
      </c>
      <c r="D106" s="13">
        <v>1488373</v>
      </c>
      <c r="E106" s="46">
        <v>10.288315181737</v>
      </c>
      <c r="F106" s="19">
        <f t="shared" si="28"/>
        <v>10.288315181737037</v>
      </c>
    </row>
    <row r="107" spans="1:31" x14ac:dyDescent="0.35">
      <c r="A107" s="17">
        <v>2049</v>
      </c>
      <c r="B107" s="18">
        <f t="shared" si="27"/>
        <v>15507.526036046385</v>
      </c>
      <c r="C107" s="18">
        <f t="shared" si="26"/>
        <v>15507526.036046386</v>
      </c>
      <c r="D107" s="13">
        <v>1477173</v>
      </c>
      <c r="E107" s="46">
        <v>10.4981109430286</v>
      </c>
      <c r="F107" s="19">
        <f t="shared" si="28"/>
        <v>10.498110943028626</v>
      </c>
    </row>
    <row r="108" spans="1:31" x14ac:dyDescent="0.35">
      <c r="A108" s="17">
        <v>2050</v>
      </c>
      <c r="B108" s="18">
        <f t="shared" si="27"/>
        <v>15704.266429035395</v>
      </c>
      <c r="C108" s="18">
        <f>D108*E109</f>
        <v>15704266.429035395</v>
      </c>
      <c r="D108" s="13">
        <v>1466019</v>
      </c>
      <c r="E108" s="46">
        <v>10.7121847868516</v>
      </c>
      <c r="F108" s="19">
        <f t="shared" si="28"/>
        <v>10.712184786851557</v>
      </c>
      <c r="I108" s="7"/>
      <c r="J108" s="7"/>
      <c r="K108" s="7"/>
      <c r="L108" s="7"/>
      <c r="M108" s="7"/>
      <c r="N108" s="7"/>
      <c r="O108" s="7"/>
      <c r="P108" s="7"/>
      <c r="Q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</row>
    <row r="109" spans="1:31" x14ac:dyDescent="0.35">
      <c r="C109" s="38"/>
      <c r="D109" s="38"/>
      <c r="E109" s="46">
        <v>10.7121847868516</v>
      </c>
      <c r="F109" s="19">
        <f t="shared" si="28"/>
        <v>10.930623950383703</v>
      </c>
    </row>
    <row r="110" spans="1:31" ht="32" customHeight="1" x14ac:dyDescent="0.35">
      <c r="A110" s="11" t="s">
        <v>134</v>
      </c>
      <c r="B110" s="11" t="s">
        <v>135</v>
      </c>
      <c r="C110" s="11" t="s">
        <v>131</v>
      </c>
      <c r="D110" s="11" t="s">
        <v>132</v>
      </c>
      <c r="E110" s="11" t="s">
        <v>129</v>
      </c>
    </row>
    <row r="111" spans="1:31" x14ac:dyDescent="0.35">
      <c r="A111" s="17">
        <v>2000</v>
      </c>
      <c r="B111" s="34">
        <v>20927.794519999999</v>
      </c>
      <c r="C111" s="18">
        <f t="shared" ref="C111:C134" si="29">B111*1000</f>
        <v>20927794.52</v>
      </c>
      <c r="D111" s="13">
        <v>2367550</v>
      </c>
      <c r="E111" s="45">
        <f t="shared" ref="E111:E134" si="30">C111/D111</f>
        <v>8.8394308546809999</v>
      </c>
    </row>
    <row r="112" spans="1:31" x14ac:dyDescent="0.35">
      <c r="A112" s="17">
        <v>2001</v>
      </c>
      <c r="B112" s="34">
        <v>22613.073646000001</v>
      </c>
      <c r="C112" s="18">
        <f t="shared" si="29"/>
        <v>22613073.646000002</v>
      </c>
      <c r="D112" s="13">
        <v>2337170</v>
      </c>
      <c r="E112" s="45">
        <f t="shared" si="30"/>
        <v>9.6754081414702409</v>
      </c>
    </row>
    <row r="113" spans="1:6" x14ac:dyDescent="0.35">
      <c r="A113" s="17">
        <v>2002</v>
      </c>
      <c r="B113" s="34">
        <v>22865.018292000001</v>
      </c>
      <c r="C113" s="18">
        <f t="shared" si="29"/>
        <v>22865018.291999999</v>
      </c>
      <c r="D113" s="13">
        <v>2310173</v>
      </c>
      <c r="E113" s="45">
        <f t="shared" si="30"/>
        <v>9.8975350729144527</v>
      </c>
    </row>
    <row r="114" spans="1:6" x14ac:dyDescent="0.35">
      <c r="A114" s="17">
        <v>2003</v>
      </c>
      <c r="B114" s="34">
        <v>24004.185870000001</v>
      </c>
      <c r="C114" s="18">
        <f t="shared" si="29"/>
        <v>24004185.870000001</v>
      </c>
      <c r="D114" s="13">
        <v>2287955</v>
      </c>
      <c r="E114" s="45">
        <f t="shared" si="30"/>
        <v>10.491546324119138</v>
      </c>
    </row>
    <row r="115" spans="1:6" x14ac:dyDescent="0.35">
      <c r="A115" s="17">
        <v>2004</v>
      </c>
      <c r="B115" s="34">
        <v>24070.019256</v>
      </c>
      <c r="C115" s="18">
        <f t="shared" si="29"/>
        <v>24070019.256000001</v>
      </c>
      <c r="D115" s="13">
        <v>2263122</v>
      </c>
      <c r="E115" s="45">
        <f t="shared" si="30"/>
        <v>10.635758591892086</v>
      </c>
    </row>
    <row r="116" spans="1:6" x14ac:dyDescent="0.35">
      <c r="A116" s="17">
        <v>2005</v>
      </c>
      <c r="B116" s="34">
        <v>24413.630642</v>
      </c>
      <c r="C116" s="18">
        <f t="shared" si="29"/>
        <v>24413630.642000001</v>
      </c>
      <c r="D116" s="13">
        <v>2238799</v>
      </c>
      <c r="E116" s="45">
        <f t="shared" si="30"/>
        <v>10.904788970336329</v>
      </c>
    </row>
    <row r="117" spans="1:6" x14ac:dyDescent="0.35">
      <c r="A117" s="17">
        <v>2006</v>
      </c>
      <c r="B117" s="34">
        <v>24618.353028000001</v>
      </c>
      <c r="C117" s="18">
        <f t="shared" si="29"/>
        <v>24618353.028000001</v>
      </c>
      <c r="D117" s="13">
        <v>2218357</v>
      </c>
      <c r="E117" s="45">
        <f t="shared" si="30"/>
        <v>11.097561406031581</v>
      </c>
    </row>
    <row r="118" spans="1:6" x14ac:dyDescent="0.35">
      <c r="A118" s="17">
        <v>2007</v>
      </c>
      <c r="B118" s="34">
        <v>24904.742146000001</v>
      </c>
      <c r="C118" s="18">
        <f t="shared" si="29"/>
        <v>24904742.146000002</v>
      </c>
      <c r="D118" s="13">
        <v>2200325</v>
      </c>
      <c r="E118" s="45">
        <f t="shared" si="30"/>
        <v>11.318665263540614</v>
      </c>
    </row>
    <row r="119" spans="1:6" x14ac:dyDescent="0.35">
      <c r="A119" s="17">
        <v>2008</v>
      </c>
      <c r="B119" s="34">
        <v>23987</v>
      </c>
      <c r="C119" s="18">
        <f t="shared" si="29"/>
        <v>23987000</v>
      </c>
      <c r="D119" s="13">
        <v>2177322</v>
      </c>
      <c r="E119" s="45">
        <f t="shared" si="30"/>
        <v>11.016744422735819</v>
      </c>
    </row>
    <row r="120" spans="1:6" x14ac:dyDescent="0.35">
      <c r="A120" s="17">
        <v>2009</v>
      </c>
      <c r="B120" s="34">
        <v>24523</v>
      </c>
      <c r="C120" s="18">
        <f t="shared" si="29"/>
        <v>24523000</v>
      </c>
      <c r="D120" s="13">
        <v>2141669</v>
      </c>
      <c r="E120" s="45">
        <f t="shared" si="30"/>
        <v>11.450415540403302</v>
      </c>
    </row>
    <row r="121" spans="1:6" x14ac:dyDescent="0.35">
      <c r="A121" s="17">
        <v>2010</v>
      </c>
      <c r="B121" s="34">
        <v>23144</v>
      </c>
      <c r="C121" s="18">
        <f t="shared" si="29"/>
        <v>23144000</v>
      </c>
      <c r="D121" s="13">
        <v>2097555</v>
      </c>
      <c r="E121" s="45">
        <f t="shared" si="30"/>
        <v>11.033798875357261</v>
      </c>
    </row>
    <row r="122" spans="1:6" x14ac:dyDescent="0.35">
      <c r="A122" s="17">
        <v>2011</v>
      </c>
      <c r="B122" s="34">
        <v>21942</v>
      </c>
      <c r="C122" s="18">
        <f t="shared" si="29"/>
        <v>21942000</v>
      </c>
      <c r="D122" s="13">
        <v>2059709</v>
      </c>
      <c r="E122" s="45">
        <f t="shared" si="30"/>
        <v>10.652961170728487</v>
      </c>
    </row>
    <row r="123" spans="1:6" x14ac:dyDescent="0.35">
      <c r="A123" s="17">
        <v>2012</v>
      </c>
      <c r="B123" s="34">
        <v>23259</v>
      </c>
      <c r="C123" s="18">
        <f t="shared" si="29"/>
        <v>23259000</v>
      </c>
      <c r="D123" s="13">
        <v>2034319</v>
      </c>
      <c r="E123" s="45">
        <f t="shared" si="30"/>
        <v>11.43331011508028</v>
      </c>
    </row>
    <row r="124" spans="1:6" x14ac:dyDescent="0.35">
      <c r="A124" s="17">
        <v>2013</v>
      </c>
      <c r="B124" s="34">
        <v>21759</v>
      </c>
      <c r="C124" s="18">
        <f t="shared" si="29"/>
        <v>21759000</v>
      </c>
      <c r="D124" s="13">
        <v>2012647</v>
      </c>
      <c r="E124" s="45">
        <f t="shared" si="30"/>
        <v>10.811135782876978</v>
      </c>
      <c r="F124" s="45">
        <f>AVERAGE(E123:E125)</f>
        <v>11.009323960078719</v>
      </c>
    </row>
    <row r="125" spans="1:6" x14ac:dyDescent="0.35">
      <c r="A125" s="17">
        <v>2014</v>
      </c>
      <c r="B125" s="34">
        <v>21500</v>
      </c>
      <c r="C125" s="18">
        <f t="shared" si="29"/>
        <v>21500000</v>
      </c>
      <c r="D125" s="13">
        <v>1993782</v>
      </c>
      <c r="E125" s="45">
        <f t="shared" si="30"/>
        <v>10.783525982278904</v>
      </c>
    </row>
    <row r="126" spans="1:6" x14ac:dyDescent="0.35">
      <c r="A126" s="17">
        <v>2015</v>
      </c>
      <c r="B126" s="34">
        <v>19702</v>
      </c>
      <c r="C126" s="18">
        <f t="shared" si="29"/>
        <v>19702000</v>
      </c>
      <c r="D126" s="13">
        <v>1977527</v>
      </c>
      <c r="E126" s="45">
        <f t="shared" si="30"/>
        <v>9.9629486727614847</v>
      </c>
    </row>
    <row r="127" spans="1:6" x14ac:dyDescent="0.35">
      <c r="A127" s="17">
        <v>2016</v>
      </c>
      <c r="B127" s="34">
        <v>20243</v>
      </c>
      <c r="C127" s="18">
        <f t="shared" si="29"/>
        <v>20243000</v>
      </c>
      <c r="D127" s="13">
        <v>1959537</v>
      </c>
      <c r="E127" s="45">
        <f t="shared" si="30"/>
        <v>10.330501541945878</v>
      </c>
    </row>
    <row r="128" spans="1:6" x14ac:dyDescent="0.35">
      <c r="A128" s="17">
        <v>2017</v>
      </c>
      <c r="B128" s="34">
        <v>20994</v>
      </c>
      <c r="C128" s="18">
        <f t="shared" si="29"/>
        <v>20994000</v>
      </c>
      <c r="D128" s="13">
        <v>1942248</v>
      </c>
      <c r="E128" s="45">
        <f t="shared" si="30"/>
        <v>10.809124272492493</v>
      </c>
    </row>
    <row r="129" spans="1:8" x14ac:dyDescent="0.35">
      <c r="A129" s="17">
        <v>2018</v>
      </c>
      <c r="B129" s="34">
        <v>21199</v>
      </c>
      <c r="C129" s="18">
        <f t="shared" si="29"/>
        <v>21199000</v>
      </c>
      <c r="D129" s="13">
        <v>1927174</v>
      </c>
      <c r="E129" s="45">
        <f t="shared" si="30"/>
        <v>11.000044624927485</v>
      </c>
    </row>
    <row r="130" spans="1:8" x14ac:dyDescent="0.35">
      <c r="A130" s="17">
        <v>2019</v>
      </c>
      <c r="B130" s="34">
        <v>20428</v>
      </c>
      <c r="C130" s="18">
        <f t="shared" si="29"/>
        <v>20428000</v>
      </c>
      <c r="D130" s="13">
        <v>1913822</v>
      </c>
      <c r="E130" s="45">
        <f t="shared" si="30"/>
        <v>10.673928923379499</v>
      </c>
    </row>
    <row r="131" spans="1:8" x14ac:dyDescent="0.35">
      <c r="A131" s="17">
        <v>2020</v>
      </c>
      <c r="B131" s="34">
        <v>19383</v>
      </c>
      <c r="C131" s="18">
        <f t="shared" si="29"/>
        <v>19383000</v>
      </c>
      <c r="D131" s="13">
        <v>1900449</v>
      </c>
      <c r="E131" s="45">
        <f t="shared" si="30"/>
        <v>10.199168722759726</v>
      </c>
    </row>
    <row r="132" spans="1:8" x14ac:dyDescent="0.35">
      <c r="A132" s="17">
        <v>2021</v>
      </c>
      <c r="B132" s="34">
        <v>20939</v>
      </c>
      <c r="C132" s="18">
        <f t="shared" si="29"/>
        <v>20939000</v>
      </c>
      <c r="D132" s="13">
        <v>1884490</v>
      </c>
      <c r="E132" s="45">
        <f t="shared" si="30"/>
        <v>11.111229032788712</v>
      </c>
    </row>
    <row r="133" spans="1:8" x14ac:dyDescent="0.35">
      <c r="A133" s="17">
        <v>2022</v>
      </c>
      <c r="B133" s="34">
        <v>19589</v>
      </c>
      <c r="C133" s="18">
        <f t="shared" si="29"/>
        <v>19589000</v>
      </c>
      <c r="D133" s="13">
        <v>1879383</v>
      </c>
      <c r="E133" s="45">
        <f t="shared" si="30"/>
        <v>10.42310162430968</v>
      </c>
      <c r="F133" s="45">
        <f>AVERAGE(E132:E134)</f>
        <v>10.496030705731918</v>
      </c>
    </row>
    <row r="134" spans="1:8" x14ac:dyDescent="0.35">
      <c r="A134" s="17">
        <v>2023</v>
      </c>
      <c r="B134" s="34">
        <v>18750</v>
      </c>
      <c r="C134" s="18">
        <f t="shared" si="29"/>
        <v>18750000</v>
      </c>
      <c r="D134" s="13">
        <v>1883710</v>
      </c>
      <c r="E134" s="45">
        <f t="shared" si="30"/>
        <v>9.9537614600973612</v>
      </c>
      <c r="F134" s="45">
        <f>(E134/E124)^(1/10)-1</f>
        <v>-8.2285761961091719E-3</v>
      </c>
      <c r="H134" s="9" t="s">
        <v>136</v>
      </c>
    </row>
    <row r="135" spans="1:8" x14ac:dyDescent="0.35">
      <c r="A135" s="17">
        <v>2024</v>
      </c>
      <c r="B135" s="34">
        <v>19027</v>
      </c>
      <c r="C135" s="18">
        <f t="shared" ref="C135:C161" si="31">D135*E135</f>
        <v>18422107.733620875</v>
      </c>
      <c r="D135" s="13">
        <v>1866124</v>
      </c>
      <c r="E135" s="45">
        <f t="shared" ref="E135:E161" si="32">F135</f>
        <v>9.8718561754850551</v>
      </c>
      <c r="F135" s="45">
        <f>E134*(1+F134)</f>
        <v>9.8718561754850551</v>
      </c>
    </row>
    <row r="136" spans="1:8" x14ac:dyDescent="0.35">
      <c r="A136" s="17">
        <v>2025</v>
      </c>
      <c r="B136" s="18">
        <f t="shared" ref="B136:B161" si="33">C136/1000</f>
        <v>18240.805470007679</v>
      </c>
      <c r="C136" s="18">
        <f t="shared" si="31"/>
        <v>18240805.47000768</v>
      </c>
      <c r="D136" s="13">
        <v>1863089</v>
      </c>
      <c r="E136" s="45">
        <f t="shared" si="32"/>
        <v>9.7906248547480459</v>
      </c>
      <c r="F136" s="45">
        <f t="shared" ref="F136:F161" si="34">F135*(1+$F$134)</f>
        <v>9.7906248547480459</v>
      </c>
    </row>
    <row r="137" spans="1:8" x14ac:dyDescent="0.35">
      <c r="A137" s="17">
        <v>2026</v>
      </c>
      <c r="B137" s="18">
        <f t="shared" si="33"/>
        <v>17889.905531149408</v>
      </c>
      <c r="C137" s="18">
        <f t="shared" si="31"/>
        <v>17889905.53114941</v>
      </c>
      <c r="D137" s="13">
        <v>1842409</v>
      </c>
      <c r="E137" s="45">
        <f t="shared" si="32"/>
        <v>9.7100619521232314</v>
      </c>
      <c r="F137" s="45">
        <f t="shared" si="34"/>
        <v>9.7100619521232314</v>
      </c>
    </row>
    <row r="138" spans="1:8" x14ac:dyDescent="0.35">
      <c r="A138" s="17">
        <v>2027</v>
      </c>
      <c r="B138" s="18">
        <f t="shared" si="33"/>
        <v>17538.364303719136</v>
      </c>
      <c r="C138" s="18">
        <f t="shared" si="31"/>
        <v>17538364.303719137</v>
      </c>
      <c r="D138" s="13">
        <v>1821191</v>
      </c>
      <c r="E138" s="45">
        <f t="shared" si="32"/>
        <v>9.6301619674812446</v>
      </c>
      <c r="F138" s="45">
        <f t="shared" si="34"/>
        <v>9.6301619674812446</v>
      </c>
    </row>
    <row r="139" spans="1:8" x14ac:dyDescent="0.35">
      <c r="A139" s="17">
        <v>2028</v>
      </c>
      <c r="B139" s="18">
        <f t="shared" si="33"/>
        <v>17184.214836463321</v>
      </c>
      <c r="C139" s="18">
        <f t="shared" si="31"/>
        <v>17184214.836463321</v>
      </c>
      <c r="D139" s="13">
        <v>1799221</v>
      </c>
      <c r="E139" s="45">
        <f t="shared" si="32"/>
        <v>9.550919445950953</v>
      </c>
      <c r="F139" s="45">
        <f t="shared" si="34"/>
        <v>9.550919445950953</v>
      </c>
    </row>
    <row r="140" spans="1:8" x14ac:dyDescent="0.35">
      <c r="A140" s="17">
        <v>2029</v>
      </c>
      <c r="B140" s="18">
        <f t="shared" si="33"/>
        <v>16838.00251815865</v>
      </c>
      <c r="C140" s="18">
        <f t="shared" si="31"/>
        <v>16838002.518158648</v>
      </c>
      <c r="D140" s="13">
        <v>1777599</v>
      </c>
      <c r="E140" s="45">
        <f t="shared" si="32"/>
        <v>9.4723289775470452</v>
      </c>
      <c r="F140" s="45">
        <f t="shared" si="34"/>
        <v>9.4723289775470452</v>
      </c>
    </row>
    <row r="141" spans="1:8" x14ac:dyDescent="0.35">
      <c r="A141" s="17">
        <v>2030</v>
      </c>
      <c r="B141" s="18">
        <f t="shared" si="33"/>
        <v>16499.678130237735</v>
      </c>
      <c r="C141" s="18">
        <f t="shared" si="31"/>
        <v>16499678.130237736</v>
      </c>
      <c r="D141" s="13">
        <v>1756334</v>
      </c>
      <c r="E141" s="45">
        <f t="shared" si="32"/>
        <v>9.3943851968006857</v>
      </c>
      <c r="F141" s="45">
        <f t="shared" si="34"/>
        <v>9.3943851968006857</v>
      </c>
    </row>
    <row r="142" spans="1:8" x14ac:dyDescent="0.35">
      <c r="A142" s="17">
        <v>2031</v>
      </c>
      <c r="B142" s="18">
        <f t="shared" si="33"/>
        <v>16169.741266346722</v>
      </c>
      <c r="C142" s="18">
        <f t="shared" si="31"/>
        <v>16169741.266346723</v>
      </c>
      <c r="D142" s="13">
        <v>1735494</v>
      </c>
      <c r="E142" s="45">
        <f t="shared" si="32"/>
        <v>9.3170827823932107</v>
      </c>
      <c r="F142" s="45">
        <f t="shared" si="34"/>
        <v>9.3170827823932107</v>
      </c>
    </row>
    <row r="143" spans="1:8" x14ac:dyDescent="0.35">
      <c r="A143" s="17">
        <v>2032</v>
      </c>
      <c r="B143" s="18">
        <f t="shared" si="33"/>
        <v>15850.187992917767</v>
      </c>
      <c r="C143" s="18">
        <f t="shared" si="31"/>
        <v>15850187.992917767</v>
      </c>
      <c r="D143" s="13">
        <v>1715311</v>
      </c>
      <c r="E143" s="45">
        <f t="shared" si="32"/>
        <v>9.2404164567928309</v>
      </c>
      <c r="F143" s="45">
        <f t="shared" si="34"/>
        <v>9.2404164567928309</v>
      </c>
    </row>
    <row r="144" spans="1:8" x14ac:dyDescent="0.35">
      <c r="A144" s="17">
        <v>2033</v>
      </c>
      <c r="B144" s="18">
        <f t="shared" si="33"/>
        <v>15541.617111310588</v>
      </c>
      <c r="C144" s="18">
        <f t="shared" si="31"/>
        <v>15541617.111310588</v>
      </c>
      <c r="D144" s="13">
        <v>1695872</v>
      </c>
      <c r="E144" s="45">
        <f t="shared" si="32"/>
        <v>9.1643809858943293</v>
      </c>
      <c r="F144" s="45">
        <f t="shared" si="34"/>
        <v>9.1643809858943293</v>
      </c>
    </row>
    <row r="145" spans="1:6" x14ac:dyDescent="0.35">
      <c r="A145" s="17">
        <v>2034</v>
      </c>
      <c r="B145" s="18">
        <f t="shared" si="33"/>
        <v>15244.340574842698</v>
      </c>
      <c r="C145" s="18">
        <f t="shared" si="31"/>
        <v>15244340.574842697</v>
      </c>
      <c r="D145" s="13">
        <v>1677235</v>
      </c>
      <c r="E145" s="45">
        <f t="shared" si="32"/>
        <v>9.0889711786617244</v>
      </c>
      <c r="F145" s="45">
        <f t="shared" si="34"/>
        <v>9.0889711786617244</v>
      </c>
    </row>
    <row r="146" spans="1:6" x14ac:dyDescent="0.35">
      <c r="A146" s="17">
        <v>2035</v>
      </c>
      <c r="B146" s="18">
        <f t="shared" si="33"/>
        <v>14970.401724460453</v>
      </c>
      <c r="C146" s="18">
        <f t="shared" si="31"/>
        <v>14970401.724460453</v>
      </c>
      <c r="D146" s="13">
        <v>1660761</v>
      </c>
      <c r="E146" s="45">
        <f t="shared" si="32"/>
        <v>9.0141818867738657</v>
      </c>
      <c r="F146" s="45">
        <f t="shared" si="34"/>
        <v>9.0141818867738657</v>
      </c>
    </row>
    <row r="147" spans="1:6" x14ac:dyDescent="0.35">
      <c r="A147" s="17">
        <v>2036</v>
      </c>
      <c r="B147" s="18">
        <f t="shared" si="33"/>
        <v>14705.87510663681</v>
      </c>
      <c r="C147" s="18">
        <f t="shared" si="31"/>
        <v>14705875.106636809</v>
      </c>
      <c r="D147" s="13">
        <v>1644951</v>
      </c>
      <c r="E147" s="45">
        <f t="shared" si="32"/>
        <v>8.9400080042729595</v>
      </c>
      <c r="F147" s="45">
        <f t="shared" si="34"/>
        <v>8.9400080042729595</v>
      </c>
    </row>
    <row r="148" spans="1:6" x14ac:dyDescent="0.35">
      <c r="A148" s="17">
        <v>2037</v>
      </c>
      <c r="B148" s="18">
        <f t="shared" si="33"/>
        <v>14449.520417999331</v>
      </c>
      <c r="C148" s="18">
        <f t="shared" si="31"/>
        <v>14449520.417999331</v>
      </c>
      <c r="D148" s="13">
        <v>1629686</v>
      </c>
      <c r="E148" s="45">
        <f t="shared" si="32"/>
        <v>8.8664444672159739</v>
      </c>
      <c r="F148" s="45">
        <f t="shared" si="34"/>
        <v>8.8664444672159739</v>
      </c>
    </row>
    <row r="149" spans="1:6" x14ac:dyDescent="0.35">
      <c r="A149" s="17">
        <v>2038</v>
      </c>
      <c r="B149" s="18">
        <f t="shared" si="33"/>
        <v>14201.63858187876</v>
      </c>
      <c r="C149" s="18">
        <f t="shared" si="31"/>
        <v>14201638.581878761</v>
      </c>
      <c r="D149" s="13">
        <v>1615018</v>
      </c>
      <c r="E149" s="45">
        <f t="shared" si="32"/>
        <v>8.7934862533289166</v>
      </c>
      <c r="F149" s="45">
        <f t="shared" si="34"/>
        <v>8.7934862533289166</v>
      </c>
    </row>
    <row r="150" spans="1:6" x14ac:dyDescent="0.35">
      <c r="A150" s="17">
        <v>2039</v>
      </c>
      <c r="B150" s="18">
        <f t="shared" si="33"/>
        <v>13960.293930178295</v>
      </c>
      <c r="C150" s="18">
        <f t="shared" si="31"/>
        <v>13960293.930178296</v>
      </c>
      <c r="D150" s="13">
        <v>1600744</v>
      </c>
      <c r="E150" s="45">
        <f t="shared" si="32"/>
        <v>8.7211283816639611</v>
      </c>
      <c r="F150" s="45">
        <f t="shared" si="34"/>
        <v>8.7211283816639611</v>
      </c>
    </row>
    <row r="151" spans="1:6" x14ac:dyDescent="0.35">
      <c r="A151" s="17">
        <v>2040</v>
      </c>
      <c r="B151" s="18">
        <f t="shared" si="33"/>
        <v>13725.990143337267</v>
      </c>
      <c r="C151" s="18">
        <f t="shared" si="31"/>
        <v>13725990.143337267</v>
      </c>
      <c r="D151" s="13">
        <v>1586936</v>
      </c>
      <c r="E151" s="45">
        <f t="shared" si="32"/>
        <v>8.6493659122593893</v>
      </c>
      <c r="F151" s="45">
        <f t="shared" si="34"/>
        <v>8.6493659122593893</v>
      </c>
    </row>
    <row r="152" spans="1:6" x14ac:dyDescent="0.35">
      <c r="A152" s="17">
        <v>2041</v>
      </c>
      <c r="B152" s="18">
        <f t="shared" si="33"/>
        <v>13498.448694653798</v>
      </c>
      <c r="C152" s="18">
        <f t="shared" si="31"/>
        <v>13498448.694653798</v>
      </c>
      <c r="D152" s="13">
        <v>1573577</v>
      </c>
      <c r="E152" s="45">
        <f t="shared" si="32"/>
        <v>8.5781939458023331</v>
      </c>
      <c r="F152" s="45">
        <f t="shared" si="34"/>
        <v>8.5781939458023331</v>
      </c>
    </row>
    <row r="153" spans="1:6" x14ac:dyDescent="0.35">
      <c r="A153" s="17">
        <v>2042</v>
      </c>
      <c r="B153" s="18">
        <f t="shared" si="33"/>
        <v>13276.802304760613</v>
      </c>
      <c r="C153" s="18">
        <f t="shared" si="31"/>
        <v>13276802.304760613</v>
      </c>
      <c r="D153" s="13">
        <v>1560580</v>
      </c>
      <c r="E153" s="45">
        <f t="shared" si="32"/>
        <v>8.5076076232942963</v>
      </c>
      <c r="F153" s="45">
        <f t="shared" si="34"/>
        <v>8.5076076232942963</v>
      </c>
    </row>
    <row r="154" spans="1:6" x14ac:dyDescent="0.35">
      <c r="A154" s="17">
        <v>2043</v>
      </c>
      <c r="B154" s="18">
        <f t="shared" si="33"/>
        <v>13060.581205605344</v>
      </c>
      <c r="C154" s="18">
        <f t="shared" si="31"/>
        <v>13060581.205605343</v>
      </c>
      <c r="D154" s="13">
        <v>1547902</v>
      </c>
      <c r="E154" s="45">
        <f t="shared" si="32"/>
        <v>8.4376021257194207</v>
      </c>
      <c r="F154" s="45">
        <f t="shared" si="34"/>
        <v>8.4376021257194207</v>
      </c>
    </row>
    <row r="155" spans="1:6" x14ac:dyDescent="0.35">
      <c r="A155" s="17">
        <v>2044</v>
      </c>
      <c r="B155" s="18">
        <f t="shared" si="33"/>
        <v>12849.295667799433</v>
      </c>
      <c r="C155" s="18">
        <f t="shared" si="31"/>
        <v>12849295.667799434</v>
      </c>
      <c r="D155" s="13">
        <v>1535496</v>
      </c>
      <c r="E155" s="45">
        <f t="shared" si="32"/>
        <v>8.3681726737154865</v>
      </c>
      <c r="F155" s="45">
        <f t="shared" si="34"/>
        <v>8.3681726737154865</v>
      </c>
    </row>
    <row r="156" spans="1:6" x14ac:dyDescent="0.35">
      <c r="A156" s="17">
        <v>2045</v>
      </c>
      <c r="B156" s="18">
        <f t="shared" si="33"/>
        <v>12642.95166931679</v>
      </c>
      <c r="C156" s="18">
        <f t="shared" si="31"/>
        <v>12642951.669316789</v>
      </c>
      <c r="D156" s="13">
        <v>1523373</v>
      </c>
      <c r="E156" s="45">
        <f t="shared" si="32"/>
        <v>8.2993145272476205</v>
      </c>
      <c r="F156" s="45">
        <f t="shared" si="34"/>
        <v>8.2993145272476205</v>
      </c>
    </row>
    <row r="157" spans="1:6" x14ac:dyDescent="0.35">
      <c r="A157" s="17">
        <v>2046</v>
      </c>
      <c r="B157" s="18">
        <f t="shared" si="33"/>
        <v>12441.150087142878</v>
      </c>
      <c r="C157" s="18">
        <f t="shared" si="31"/>
        <v>12441150.087142877</v>
      </c>
      <c r="D157" s="13">
        <v>1511495</v>
      </c>
      <c r="E157" s="45">
        <f t="shared" si="32"/>
        <v>8.231022985284687</v>
      </c>
      <c r="F157" s="45">
        <f t="shared" si="34"/>
        <v>8.231022985284687</v>
      </c>
    </row>
    <row r="158" spans="1:6" x14ac:dyDescent="0.35">
      <c r="A158" s="17">
        <v>2047</v>
      </c>
      <c r="B158" s="18">
        <f t="shared" si="33"/>
        <v>12243.544155048601</v>
      </c>
      <c r="C158" s="18">
        <f t="shared" si="31"/>
        <v>12243544.155048601</v>
      </c>
      <c r="D158" s="13">
        <v>1499829</v>
      </c>
      <c r="E158" s="45">
        <f t="shared" si="32"/>
        <v>8.1632933854783456</v>
      </c>
      <c r="F158" s="45">
        <f t="shared" si="34"/>
        <v>8.1632933854783456</v>
      </c>
    </row>
    <row r="159" spans="1:6" x14ac:dyDescent="0.35">
      <c r="A159" s="17">
        <v>2048</v>
      </c>
      <c r="B159" s="18">
        <f t="shared" si="33"/>
        <v>12050.048055692712</v>
      </c>
      <c r="C159" s="18">
        <f t="shared" si="31"/>
        <v>12050048.055692712</v>
      </c>
      <c r="D159" s="13">
        <v>1488373</v>
      </c>
      <c r="E159" s="45">
        <f t="shared" si="32"/>
        <v>8.0961211038447427</v>
      </c>
      <c r="F159" s="45">
        <f t="shared" si="34"/>
        <v>8.0961211038447427</v>
      </c>
    </row>
    <row r="160" spans="1:6" x14ac:dyDescent="0.35">
      <c r="A160" s="17">
        <v>2049</v>
      </c>
      <c r="B160" s="18">
        <f t="shared" si="33"/>
        <v>11860.962899689839</v>
      </c>
      <c r="C160" s="18">
        <f t="shared" si="31"/>
        <v>11860962.899689838</v>
      </c>
      <c r="D160" s="13">
        <v>1477173</v>
      </c>
      <c r="E160" s="45">
        <f t="shared" si="32"/>
        <v>8.029501554448828</v>
      </c>
      <c r="F160" s="45">
        <f t="shared" si="34"/>
        <v>8.029501554448828</v>
      </c>
    </row>
    <row r="161" spans="1:31" x14ac:dyDescent="0.35">
      <c r="A161" s="17">
        <v>2050</v>
      </c>
      <c r="B161" s="18">
        <f t="shared" si="33"/>
        <v>11674.539962381392</v>
      </c>
      <c r="C161" s="18">
        <f t="shared" si="31"/>
        <v>11674539.962381393</v>
      </c>
      <c r="D161" s="13">
        <v>1466019</v>
      </c>
      <c r="E161" s="45">
        <f t="shared" si="32"/>
        <v>7.9634301890912687</v>
      </c>
      <c r="F161" s="45">
        <f t="shared" si="34"/>
        <v>7.9634301890912687</v>
      </c>
      <c r="I161" s="7"/>
      <c r="J161" s="7"/>
      <c r="K161" s="7"/>
      <c r="L161" s="7"/>
      <c r="M161" s="7"/>
      <c r="N161" s="7"/>
      <c r="O161" s="7"/>
      <c r="P161" s="7"/>
      <c r="Q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</row>
    <row r="163" spans="1:31" ht="32" customHeight="1" x14ac:dyDescent="0.35">
      <c r="A163" s="11" t="s">
        <v>128</v>
      </c>
      <c r="B163" s="11" t="s">
        <v>137</v>
      </c>
      <c r="C163" s="11" t="s">
        <v>131</v>
      </c>
      <c r="D163" s="11" t="s">
        <v>132</v>
      </c>
      <c r="E163" s="11" t="s">
        <v>129</v>
      </c>
    </row>
    <row r="164" spans="1:31" x14ac:dyDescent="0.35">
      <c r="A164" s="17">
        <v>2000</v>
      </c>
      <c r="B164" s="34">
        <v>8410.8400619999993</v>
      </c>
      <c r="C164" s="18">
        <f t="shared" ref="C164:C187" si="35">B164*1000</f>
        <v>8410840.061999999</v>
      </c>
      <c r="D164" s="13">
        <v>2367550</v>
      </c>
      <c r="E164" s="45">
        <f t="shared" ref="E164:E187" si="36">C164/D164</f>
        <v>3.5525501307258556</v>
      </c>
    </row>
    <row r="165" spans="1:31" x14ac:dyDescent="0.35">
      <c r="A165" s="17">
        <v>2001</v>
      </c>
      <c r="B165" s="34">
        <v>9915.0079320000004</v>
      </c>
      <c r="C165" s="18">
        <f t="shared" si="35"/>
        <v>9915007.932</v>
      </c>
      <c r="D165" s="13">
        <v>2337170</v>
      </c>
      <c r="E165" s="45">
        <f t="shared" si="36"/>
        <v>4.2423135381679549</v>
      </c>
    </row>
    <row r="166" spans="1:31" x14ac:dyDescent="0.35">
      <c r="A166" s="17">
        <v>2002</v>
      </c>
      <c r="B166" s="34">
        <v>10170.008136</v>
      </c>
      <c r="C166" s="18">
        <f t="shared" si="35"/>
        <v>10170008.136</v>
      </c>
      <c r="D166" s="13">
        <v>2310173</v>
      </c>
      <c r="E166" s="45">
        <f t="shared" si="36"/>
        <v>4.4022712307692977</v>
      </c>
    </row>
    <row r="167" spans="1:31" x14ac:dyDescent="0.35">
      <c r="A167" s="17">
        <v>2003</v>
      </c>
      <c r="B167" s="34">
        <v>10708.064122</v>
      </c>
      <c r="C167" s="18">
        <f t="shared" si="35"/>
        <v>10708064.122</v>
      </c>
      <c r="D167" s="13">
        <v>2287955</v>
      </c>
      <c r="E167" s="45">
        <f t="shared" si="36"/>
        <v>4.6801900046111049</v>
      </c>
    </row>
    <row r="168" spans="1:31" x14ac:dyDescent="0.35">
      <c r="A168" s="17">
        <v>2004</v>
      </c>
      <c r="B168" s="34">
        <v>11234.453432</v>
      </c>
      <c r="C168" s="18">
        <f t="shared" si="35"/>
        <v>11234453.432</v>
      </c>
      <c r="D168" s="13">
        <v>2263122</v>
      </c>
      <c r="E168" s="45">
        <f t="shared" si="36"/>
        <v>4.9641395523528997</v>
      </c>
    </row>
    <row r="169" spans="1:31" x14ac:dyDescent="0.35">
      <c r="A169" s="17">
        <v>2005</v>
      </c>
      <c r="B169" s="34">
        <v>11746.120508</v>
      </c>
      <c r="C169" s="18">
        <f t="shared" si="35"/>
        <v>11746120.507999999</v>
      </c>
      <c r="D169" s="13">
        <v>2238799</v>
      </c>
      <c r="E169" s="45">
        <f t="shared" si="36"/>
        <v>5.2466168280403913</v>
      </c>
    </row>
    <row r="170" spans="1:31" x14ac:dyDescent="0.35">
      <c r="A170" s="17">
        <v>2006</v>
      </c>
      <c r="B170" s="34">
        <v>12963.89926</v>
      </c>
      <c r="C170" s="18">
        <f t="shared" si="35"/>
        <v>12963899.26</v>
      </c>
      <c r="D170" s="13">
        <v>2218357</v>
      </c>
      <c r="E170" s="45">
        <f t="shared" si="36"/>
        <v>5.8439192880136064</v>
      </c>
    </row>
    <row r="171" spans="1:31" x14ac:dyDescent="0.35">
      <c r="A171" s="17">
        <v>2007</v>
      </c>
      <c r="B171" s="34">
        <v>14595.011676</v>
      </c>
      <c r="C171" s="18">
        <f t="shared" si="35"/>
        <v>14595011.676000001</v>
      </c>
      <c r="D171" s="13">
        <v>2200325</v>
      </c>
      <c r="E171" s="45">
        <f t="shared" si="36"/>
        <v>6.6331163241793831</v>
      </c>
    </row>
    <row r="172" spans="1:31" x14ac:dyDescent="0.35">
      <c r="A172" s="17">
        <v>2008</v>
      </c>
      <c r="B172" s="34">
        <v>15175</v>
      </c>
      <c r="C172" s="18">
        <f t="shared" si="35"/>
        <v>15175000</v>
      </c>
      <c r="D172" s="13">
        <v>2177322</v>
      </c>
      <c r="E172" s="45">
        <f t="shared" si="36"/>
        <v>6.9695708765171158</v>
      </c>
    </row>
    <row r="173" spans="1:31" x14ac:dyDescent="0.35">
      <c r="A173" s="17">
        <v>2009</v>
      </c>
      <c r="B173" s="34">
        <v>13445</v>
      </c>
      <c r="C173" s="18">
        <f t="shared" si="35"/>
        <v>13445000</v>
      </c>
      <c r="D173" s="13">
        <v>2141669</v>
      </c>
      <c r="E173" s="45">
        <f t="shared" si="36"/>
        <v>6.2778141720312526</v>
      </c>
    </row>
    <row r="174" spans="1:31" x14ac:dyDescent="0.35">
      <c r="A174" s="17">
        <v>2010</v>
      </c>
      <c r="B174" s="34">
        <v>14126</v>
      </c>
      <c r="C174" s="18">
        <f t="shared" si="35"/>
        <v>14126000</v>
      </c>
      <c r="D174" s="13">
        <v>2097555</v>
      </c>
      <c r="E174" s="45">
        <f t="shared" si="36"/>
        <v>6.7345075576087394</v>
      </c>
    </row>
    <row r="175" spans="1:31" x14ac:dyDescent="0.35">
      <c r="A175" s="17">
        <v>2011</v>
      </c>
      <c r="B175" s="34">
        <v>12773</v>
      </c>
      <c r="C175" s="18">
        <f t="shared" si="35"/>
        <v>12773000</v>
      </c>
      <c r="D175" s="13">
        <v>2059709</v>
      </c>
      <c r="E175" s="45">
        <f t="shared" si="36"/>
        <v>6.2013614544578868</v>
      </c>
    </row>
    <row r="176" spans="1:31" x14ac:dyDescent="0.35">
      <c r="A176" s="17">
        <v>2012</v>
      </c>
      <c r="B176" s="34">
        <v>12420</v>
      </c>
      <c r="C176" s="18">
        <f t="shared" si="35"/>
        <v>12420000</v>
      </c>
      <c r="D176" s="13">
        <v>2034319</v>
      </c>
      <c r="E176" s="45">
        <f t="shared" si="36"/>
        <v>6.1052371825657632</v>
      </c>
    </row>
    <row r="177" spans="1:8" x14ac:dyDescent="0.35">
      <c r="A177" s="17">
        <v>2013</v>
      </c>
      <c r="B177" s="34">
        <v>12588</v>
      </c>
      <c r="C177" s="18">
        <f t="shared" si="35"/>
        <v>12588000</v>
      </c>
      <c r="D177" s="13">
        <v>2012647</v>
      </c>
      <c r="E177" s="45">
        <f t="shared" si="36"/>
        <v>6.2544499855165858</v>
      </c>
    </row>
    <row r="178" spans="1:8" x14ac:dyDescent="0.35">
      <c r="A178" s="17">
        <v>2014</v>
      </c>
      <c r="B178" s="34">
        <v>12860</v>
      </c>
      <c r="C178" s="18">
        <f t="shared" si="35"/>
        <v>12860000</v>
      </c>
      <c r="D178" s="13">
        <v>1993782</v>
      </c>
      <c r="E178" s="45">
        <f t="shared" si="36"/>
        <v>6.4500532154468244</v>
      </c>
    </row>
    <row r="179" spans="1:8" x14ac:dyDescent="0.35">
      <c r="A179" s="17">
        <v>2015</v>
      </c>
      <c r="B179" s="34">
        <v>13605</v>
      </c>
      <c r="C179" s="18">
        <f t="shared" si="35"/>
        <v>13605000</v>
      </c>
      <c r="D179" s="13">
        <v>1977527</v>
      </c>
      <c r="E179" s="45">
        <f t="shared" si="36"/>
        <v>6.8798049280743072</v>
      </c>
    </row>
    <row r="180" spans="1:8" x14ac:dyDescent="0.35">
      <c r="A180" s="17">
        <v>2016</v>
      </c>
      <c r="B180" s="34">
        <v>13827</v>
      </c>
      <c r="C180" s="18">
        <f t="shared" si="35"/>
        <v>13827000</v>
      </c>
      <c r="D180" s="13">
        <v>1959537</v>
      </c>
      <c r="E180" s="45">
        <f t="shared" si="36"/>
        <v>7.0562586978454602</v>
      </c>
    </row>
    <row r="181" spans="1:8" x14ac:dyDescent="0.35">
      <c r="A181" s="17">
        <v>2017</v>
      </c>
      <c r="B181" s="34">
        <v>14430</v>
      </c>
      <c r="C181" s="18">
        <f t="shared" si="35"/>
        <v>14430000</v>
      </c>
      <c r="D181" s="13">
        <v>1942248</v>
      </c>
      <c r="E181" s="45">
        <f t="shared" si="36"/>
        <v>7.4295352601727487</v>
      </c>
    </row>
    <row r="182" spans="1:8" x14ac:dyDescent="0.35">
      <c r="A182" s="17">
        <v>2018</v>
      </c>
      <c r="B182" s="34">
        <v>15054</v>
      </c>
      <c r="C182" s="18">
        <f t="shared" si="35"/>
        <v>15054000</v>
      </c>
      <c r="D182" s="13">
        <v>1927174</v>
      </c>
      <c r="E182" s="45">
        <f t="shared" si="36"/>
        <v>7.8114378878087809</v>
      </c>
    </row>
    <row r="183" spans="1:8" x14ac:dyDescent="0.35">
      <c r="A183" s="17">
        <v>2019</v>
      </c>
      <c r="B183" s="34">
        <v>14993</v>
      </c>
      <c r="C183" s="18">
        <f t="shared" si="35"/>
        <v>14993000</v>
      </c>
      <c r="D183" s="13">
        <v>1913822</v>
      </c>
      <c r="E183" s="45">
        <f t="shared" si="36"/>
        <v>7.8340618929033106</v>
      </c>
    </row>
    <row r="184" spans="1:8" x14ac:dyDescent="0.35">
      <c r="A184" s="17">
        <v>2020</v>
      </c>
      <c r="B184" s="34">
        <v>13078</v>
      </c>
      <c r="C184" s="18">
        <f t="shared" si="35"/>
        <v>13078000</v>
      </c>
      <c r="D184" s="13">
        <v>1900449</v>
      </c>
      <c r="E184" s="45">
        <f t="shared" si="36"/>
        <v>6.8815316801450601</v>
      </c>
    </row>
    <row r="185" spans="1:8" x14ac:dyDescent="0.35">
      <c r="A185" s="17">
        <v>2021</v>
      </c>
      <c r="B185" s="34">
        <v>13783</v>
      </c>
      <c r="C185" s="18">
        <f t="shared" si="35"/>
        <v>13783000</v>
      </c>
      <c r="D185" s="13">
        <v>1884490</v>
      </c>
      <c r="E185" s="45">
        <f t="shared" si="36"/>
        <v>7.3139151706827841</v>
      </c>
    </row>
    <row r="186" spans="1:8" x14ac:dyDescent="0.35">
      <c r="A186" s="17">
        <v>2022</v>
      </c>
      <c r="B186" s="34">
        <v>13860</v>
      </c>
      <c r="C186" s="18">
        <f t="shared" si="35"/>
        <v>13860000</v>
      </c>
      <c r="D186" s="13">
        <v>1879383</v>
      </c>
      <c r="E186" s="45">
        <f t="shared" si="36"/>
        <v>7.3747607592491793</v>
      </c>
    </row>
    <row r="187" spans="1:8" x14ac:dyDescent="0.35">
      <c r="A187" s="17">
        <v>2023</v>
      </c>
      <c r="B187" s="34">
        <v>13779</v>
      </c>
      <c r="C187" s="18">
        <f t="shared" si="35"/>
        <v>13779000</v>
      </c>
      <c r="D187" s="13">
        <v>1883710</v>
      </c>
      <c r="E187" s="45">
        <f t="shared" si="36"/>
        <v>7.3148202217963485</v>
      </c>
      <c r="F187" s="45">
        <f>(E187/E177)^(1/10)-1</f>
        <v>1.578419992150204E-2</v>
      </c>
      <c r="H187" s="9" t="s">
        <v>136</v>
      </c>
    </row>
    <row r="188" spans="1:8" x14ac:dyDescent="0.35">
      <c r="A188" s="17">
        <v>2024</v>
      </c>
      <c r="B188" s="34">
        <v>12970</v>
      </c>
      <c r="C188" s="18">
        <f t="shared" ref="C188:C214" si="37">D188*E188</f>
        <v>13865821.607626088</v>
      </c>
      <c r="D188" s="13">
        <v>1866124</v>
      </c>
      <c r="E188" s="45">
        <f t="shared" ref="E188:E214" si="38">F188</f>
        <v>7.4302788065670278</v>
      </c>
      <c r="F188" s="45">
        <f>E187*(1+F187)</f>
        <v>7.4302788065670278</v>
      </c>
    </row>
    <row r="189" spans="1:8" x14ac:dyDescent="0.35">
      <c r="A189" s="17">
        <v>2025</v>
      </c>
      <c r="B189" s="18">
        <f t="shared" ref="B189:B214" si="39">C189/1000</f>
        <v>14061.775663925129</v>
      </c>
      <c r="C189" s="18">
        <f t="shared" si="37"/>
        <v>14061775.66392513</v>
      </c>
      <c r="D189" s="13">
        <v>1863089</v>
      </c>
      <c r="E189" s="45">
        <f t="shared" si="38"/>
        <v>7.5475598127223815</v>
      </c>
      <c r="F189" s="45">
        <f t="shared" ref="F189:F214" si="40">F188*(1+$F$187)</f>
        <v>7.5475598127223815</v>
      </c>
    </row>
    <row r="190" spans="1:8" x14ac:dyDescent="0.35">
      <c r="A190" s="17">
        <v>2026</v>
      </c>
      <c r="B190" s="18">
        <f t="shared" si="39"/>
        <v>14125.182351577423</v>
      </c>
      <c r="C190" s="18">
        <f t="shared" si="37"/>
        <v>14125182.351577424</v>
      </c>
      <c r="D190" s="13">
        <v>1842409</v>
      </c>
      <c r="E190" s="45">
        <f t="shared" si="38"/>
        <v>7.6666920057258858</v>
      </c>
      <c r="F190" s="45">
        <f t="shared" si="40"/>
        <v>7.6666920057258858</v>
      </c>
    </row>
    <row r="191" spans="1:8" x14ac:dyDescent="0.35">
      <c r="A191" s="17">
        <v>2027</v>
      </c>
      <c r="B191" s="18">
        <f t="shared" si="39"/>
        <v>14182.897537431789</v>
      </c>
      <c r="C191" s="18">
        <f t="shared" si="37"/>
        <v>14182897.53743179</v>
      </c>
      <c r="D191" s="13">
        <v>1821191</v>
      </c>
      <c r="E191" s="45">
        <f t="shared" si="38"/>
        <v>7.7877046050808447</v>
      </c>
      <c r="F191" s="45">
        <f t="shared" si="40"/>
        <v>7.7877046050808447</v>
      </c>
    </row>
    <row r="192" spans="1:8" x14ac:dyDescent="0.35">
      <c r="A192" s="17">
        <v>2028</v>
      </c>
      <c r="B192" s="18">
        <f t="shared" si="39"/>
        <v>14232.966746034601</v>
      </c>
      <c r="C192" s="18">
        <f t="shared" si="37"/>
        <v>14232966.746034602</v>
      </c>
      <c r="D192" s="13">
        <v>1799221</v>
      </c>
      <c r="E192" s="45">
        <f t="shared" si="38"/>
        <v>7.9106272914970432</v>
      </c>
      <c r="F192" s="45">
        <f t="shared" si="40"/>
        <v>7.9106272914970432</v>
      </c>
    </row>
    <row r="193" spans="1:6" x14ac:dyDescent="0.35">
      <c r="A193" s="17">
        <v>2029</v>
      </c>
      <c r="B193" s="18">
        <f t="shared" si="39"/>
        <v>14283.879369219307</v>
      </c>
      <c r="C193" s="18">
        <f t="shared" si="37"/>
        <v>14283879.369219307</v>
      </c>
      <c r="D193" s="13">
        <v>1777599</v>
      </c>
      <c r="E193" s="45">
        <f t="shared" si="38"/>
        <v>8.0354902141705224</v>
      </c>
      <c r="F193" s="45">
        <f t="shared" si="40"/>
        <v>8.0354902141705224</v>
      </c>
    </row>
    <row r="194" spans="1:6" x14ac:dyDescent="0.35">
      <c r="A194" s="17">
        <v>2030</v>
      </c>
      <c r="B194" s="18">
        <f t="shared" si="39"/>
        <v>14335.76715701642</v>
      </c>
      <c r="C194" s="18">
        <f t="shared" si="37"/>
        <v>14335767.157016421</v>
      </c>
      <c r="D194" s="13">
        <v>1756334</v>
      </c>
      <c r="E194" s="45">
        <f t="shared" si="38"/>
        <v>8.1623239981782625</v>
      </c>
      <c r="F194" s="45">
        <f t="shared" si="40"/>
        <v>8.1623239981782625</v>
      </c>
    </row>
    <row r="195" spans="1:6" x14ac:dyDescent="0.35">
      <c r="A195" s="17">
        <v>2031</v>
      </c>
      <c r="B195" s="18">
        <f t="shared" si="39"/>
        <v>14389.258002619408</v>
      </c>
      <c r="C195" s="18">
        <f t="shared" si="37"/>
        <v>14389258.002619408</v>
      </c>
      <c r="D195" s="13">
        <v>1735494</v>
      </c>
      <c r="E195" s="45">
        <f t="shared" si="38"/>
        <v>8.2911597519895821</v>
      </c>
      <c r="F195" s="45">
        <f t="shared" si="40"/>
        <v>8.2911597519895821</v>
      </c>
    </row>
    <row r="196" spans="1:6" x14ac:dyDescent="0.35">
      <c r="A196" s="17">
        <v>2032</v>
      </c>
      <c r="B196" s="18">
        <f t="shared" si="39"/>
        <v>14446.39911483216</v>
      </c>
      <c r="C196" s="18">
        <f t="shared" si="37"/>
        <v>14446399.114832161</v>
      </c>
      <c r="D196" s="13">
        <v>1715311</v>
      </c>
      <c r="E196" s="45">
        <f t="shared" si="38"/>
        <v>8.4220290750960967</v>
      </c>
      <c r="F196" s="45">
        <f t="shared" si="40"/>
        <v>8.4220290750960967</v>
      </c>
    </row>
    <row r="197" spans="1:6" x14ac:dyDescent="0.35">
      <c r="A197" s="17">
        <v>2033</v>
      </c>
      <c r="B197" s="18">
        <f t="shared" si="39"/>
        <v>14508.124020132131</v>
      </c>
      <c r="C197" s="18">
        <f t="shared" si="37"/>
        <v>14508124.02013213</v>
      </c>
      <c r="D197" s="13">
        <v>1695872</v>
      </c>
      <c r="E197" s="45">
        <f t="shared" si="38"/>
        <v>8.5549640657621158</v>
      </c>
      <c r="F197" s="45">
        <f t="shared" si="40"/>
        <v>8.5549640657621158</v>
      </c>
    </row>
    <row r="198" spans="1:6" x14ac:dyDescent="0.35">
      <c r="A198" s="17">
        <v>2034</v>
      </c>
      <c r="B198" s="18">
        <f t="shared" si="39"/>
        <v>14575.167669933184</v>
      </c>
      <c r="C198" s="18">
        <f t="shared" si="37"/>
        <v>14575167.669933183</v>
      </c>
      <c r="D198" s="13">
        <v>1677235</v>
      </c>
      <c r="E198" s="45">
        <f t="shared" si="38"/>
        <v>8.6899973288973715</v>
      </c>
      <c r="F198" s="45">
        <f t="shared" si="40"/>
        <v>8.6899973288973715</v>
      </c>
    </row>
    <row r="199" spans="1:6" x14ac:dyDescent="0.35">
      <c r="A199" s="17">
        <v>2035</v>
      </c>
      <c r="B199" s="18">
        <f t="shared" si="39"/>
        <v>14659.806363799516</v>
      </c>
      <c r="C199" s="18">
        <f t="shared" si="37"/>
        <v>14659806.363799516</v>
      </c>
      <c r="D199" s="13">
        <v>1660761</v>
      </c>
      <c r="E199" s="45">
        <f t="shared" si="38"/>
        <v>8.8271619840540065</v>
      </c>
      <c r="F199" s="45">
        <f t="shared" si="40"/>
        <v>8.8271619840540065</v>
      </c>
    </row>
    <row r="200" spans="1:6" x14ac:dyDescent="0.35">
      <c r="A200" s="17">
        <v>2036</v>
      </c>
      <c r="B200" s="18">
        <f t="shared" si="39"/>
        <v>14749.439444897411</v>
      </c>
      <c r="C200" s="18">
        <f t="shared" si="37"/>
        <v>14749439.444897411</v>
      </c>
      <c r="D200" s="13">
        <v>1644951</v>
      </c>
      <c r="E200" s="45">
        <f t="shared" si="38"/>
        <v>8.9664916735497968</v>
      </c>
      <c r="F200" s="45">
        <f t="shared" si="40"/>
        <v>8.9664916735497968</v>
      </c>
    </row>
    <row r="201" spans="1:6" x14ac:dyDescent="0.35">
      <c r="A201" s="17">
        <v>2037</v>
      </c>
      <c r="B201" s="18">
        <f t="shared" si="39"/>
        <v>14843.213611813726</v>
      </c>
      <c r="C201" s="18">
        <f t="shared" si="37"/>
        <v>14843213.611813726</v>
      </c>
      <c r="D201" s="13">
        <v>1629686</v>
      </c>
      <c r="E201" s="45">
        <f t="shared" si="38"/>
        <v>9.1080205707195905</v>
      </c>
      <c r="F201" s="45">
        <f t="shared" si="40"/>
        <v>9.1080205707195905</v>
      </c>
    </row>
    <row r="202" spans="1:6" x14ac:dyDescent="0.35">
      <c r="A202" s="17">
        <v>2038</v>
      </c>
      <c r="B202" s="18">
        <f t="shared" si="39"/>
        <v>14941.796704200615</v>
      </c>
      <c r="C202" s="18">
        <f t="shared" si="37"/>
        <v>14941796.704200614</v>
      </c>
      <c r="D202" s="13">
        <v>1615018</v>
      </c>
      <c r="E202" s="45">
        <f t="shared" si="38"/>
        <v>9.2517833882969818</v>
      </c>
      <c r="F202" s="45">
        <f t="shared" si="40"/>
        <v>9.2517833882969818</v>
      </c>
    </row>
    <row r="203" spans="1:6" x14ac:dyDescent="0.35">
      <c r="A203" s="17">
        <v>2039</v>
      </c>
      <c r="B203" s="18">
        <f t="shared" si="39"/>
        <v>15043.496593733145</v>
      </c>
      <c r="C203" s="18">
        <f t="shared" si="37"/>
        <v>15043496.593733145</v>
      </c>
      <c r="D203" s="13">
        <v>1600744</v>
      </c>
      <c r="E203" s="45">
        <f t="shared" si="38"/>
        <v>9.3978153869282934</v>
      </c>
      <c r="F203" s="45">
        <f t="shared" si="40"/>
        <v>9.3978153869282934</v>
      </c>
    </row>
    <row r="204" spans="1:6" x14ac:dyDescent="0.35">
      <c r="A204" s="17">
        <v>2040</v>
      </c>
      <c r="B204" s="18">
        <f t="shared" si="39"/>
        <v>15149.132879371264</v>
      </c>
      <c r="C204" s="18">
        <f t="shared" si="37"/>
        <v>15149132.879371263</v>
      </c>
      <c r="D204" s="13">
        <v>1586936</v>
      </c>
      <c r="E204" s="45">
        <f t="shared" si="38"/>
        <v>9.546152383820937</v>
      </c>
      <c r="F204" s="45">
        <f t="shared" si="40"/>
        <v>9.546152383820937</v>
      </c>
    </row>
    <row r="205" spans="1:6" x14ac:dyDescent="0.35">
      <c r="A205" s="17">
        <v>2041</v>
      </c>
      <c r="B205" s="18">
        <f t="shared" si="39"/>
        <v>15258.709859233402</v>
      </c>
      <c r="C205" s="18">
        <f t="shared" si="37"/>
        <v>15258709.859233402</v>
      </c>
      <c r="D205" s="13">
        <v>1573577</v>
      </c>
      <c r="E205" s="45">
        <f t="shared" si="38"/>
        <v>9.6968307615282896</v>
      </c>
      <c r="F205" s="45">
        <f t="shared" si="40"/>
        <v>9.6968307615282896</v>
      </c>
    </row>
    <row r="206" spans="1:6" x14ac:dyDescent="0.35">
      <c r="A206" s="17">
        <v>2042</v>
      </c>
      <c r="B206" s="18">
        <f t="shared" si="39"/>
        <v>15371.537398658815</v>
      </c>
      <c r="C206" s="18">
        <f t="shared" si="37"/>
        <v>15371537.398658814</v>
      </c>
      <c r="D206" s="13">
        <v>1560580</v>
      </c>
      <c r="E206" s="45">
        <f t="shared" si="38"/>
        <v>9.8498874768732225</v>
      </c>
      <c r="F206" s="45">
        <f t="shared" si="40"/>
        <v>9.8498874768732225</v>
      </c>
    </row>
    <row r="207" spans="1:6" x14ac:dyDescent="0.35">
      <c r="A207" s="17">
        <v>2043</v>
      </c>
      <c r="B207" s="18">
        <f t="shared" si="39"/>
        <v>15487.316863092472</v>
      </c>
      <c r="C207" s="18">
        <f t="shared" si="37"/>
        <v>15487316.863092473</v>
      </c>
      <c r="D207" s="13">
        <v>1547902</v>
      </c>
      <c r="E207" s="45">
        <f t="shared" si="38"/>
        <v>10.00536007001249</v>
      </c>
      <c r="F207" s="45">
        <f t="shared" si="40"/>
        <v>10.00536007001249</v>
      </c>
    </row>
    <row r="208" spans="1:6" x14ac:dyDescent="0.35">
      <c r="A208" s="17">
        <v>2044</v>
      </c>
      <c r="B208" s="18">
        <f t="shared" si="39"/>
        <v>15605.686034233942</v>
      </c>
      <c r="C208" s="18">
        <f t="shared" si="37"/>
        <v>15605686.034233943</v>
      </c>
      <c r="D208" s="13">
        <v>1535496</v>
      </c>
      <c r="E208" s="45">
        <f t="shared" si="38"/>
        <v>10.16328667364418</v>
      </c>
      <c r="F208" s="45">
        <f t="shared" si="40"/>
        <v>10.16328667364418</v>
      </c>
    </row>
    <row r="209" spans="1:6" x14ac:dyDescent="0.35">
      <c r="A209" s="17">
        <v>2045</v>
      </c>
      <c r="B209" s="18">
        <f t="shared" si="39"/>
        <v>15726.855014401408</v>
      </c>
      <c r="C209" s="18">
        <f t="shared" si="37"/>
        <v>15726855.014401408</v>
      </c>
      <c r="D209" s="13">
        <v>1523373</v>
      </c>
      <c r="E209" s="45">
        <f t="shared" si="38"/>
        <v>10.323706022360517</v>
      </c>
      <c r="F209" s="45">
        <f t="shared" si="40"/>
        <v>10.323706022360517</v>
      </c>
    </row>
    <row r="210" spans="1:6" x14ac:dyDescent="0.35">
      <c r="A210" s="17">
        <v>2046</v>
      </c>
      <c r="B210" s="18">
        <f t="shared" si="39"/>
        <v>15850.530320749798</v>
      </c>
      <c r="C210" s="18">
        <f t="shared" si="37"/>
        <v>15850530.320749799</v>
      </c>
      <c r="D210" s="13">
        <v>1511495</v>
      </c>
      <c r="E210" s="45">
        <f t="shared" si="38"/>
        <v>10.486657462148269</v>
      </c>
      <c r="F210" s="45">
        <f t="shared" si="40"/>
        <v>10.486657462148269</v>
      </c>
    </row>
    <row r="211" spans="1:6" x14ac:dyDescent="0.35">
      <c r="A211" s="17">
        <v>2047</v>
      </c>
      <c r="B211" s="18">
        <f t="shared" si="39"/>
        <v>15976.449917114525</v>
      </c>
      <c r="C211" s="18">
        <f t="shared" si="37"/>
        <v>15976449.917114526</v>
      </c>
      <c r="D211" s="13">
        <v>1499829</v>
      </c>
      <c r="E211" s="45">
        <f t="shared" si="38"/>
        <v>10.652180960039129</v>
      </c>
      <c r="F211" s="45">
        <f t="shared" si="40"/>
        <v>10.652180960039129</v>
      </c>
    </row>
    <row r="212" spans="1:6" x14ac:dyDescent="0.35">
      <c r="A212" s="17">
        <v>2048</v>
      </c>
      <c r="B212" s="18">
        <f t="shared" si="39"/>
        <v>16104.667843785146</v>
      </c>
      <c r="C212" s="18">
        <f t="shared" si="37"/>
        <v>16104667.843785146</v>
      </c>
      <c r="D212" s="13">
        <v>1488373</v>
      </c>
      <c r="E212" s="45">
        <f t="shared" si="38"/>
        <v>10.820317113912404</v>
      </c>
      <c r="F212" s="45">
        <f t="shared" si="40"/>
        <v>10.820317113912404</v>
      </c>
    </row>
    <row r="213" spans="1:6" x14ac:dyDescent="0.35">
      <c r="A213" s="17">
        <v>2049</v>
      </c>
      <c r="B213" s="18">
        <f t="shared" si="39"/>
        <v>16235.766740481369</v>
      </c>
      <c r="C213" s="18">
        <f t="shared" si="37"/>
        <v>16235766.740481369</v>
      </c>
      <c r="D213" s="13">
        <v>1477173</v>
      </c>
      <c r="E213" s="45">
        <f t="shared" si="38"/>
        <v>10.991107162452447</v>
      </c>
      <c r="F213" s="45">
        <f t="shared" si="40"/>
        <v>10.991107162452447</v>
      </c>
    </row>
    <row r="214" spans="1:6" x14ac:dyDescent="0.35">
      <c r="A214" s="17">
        <v>2050</v>
      </c>
      <c r="B214" s="18">
        <f t="shared" si="39"/>
        <v>16367.505458322834</v>
      </c>
      <c r="C214" s="18">
        <f t="shared" si="37"/>
        <v>16367505.458322834</v>
      </c>
      <c r="D214" s="13">
        <v>1466019</v>
      </c>
      <c r="E214" s="45">
        <f t="shared" si="38"/>
        <v>11.16459299526325</v>
      </c>
      <c r="F214" s="45">
        <f t="shared" si="40"/>
        <v>11.16459299526325</v>
      </c>
    </row>
  </sheetData>
  <sheetProtection algorithmName="SHA-512" hashValue="V6/EscZR8ymHvfI7/ldugXGkVBwMlt/auvIGziMpqlRAPGyGFp18AEOi+GSyfHkKekZ65wM87BTcAbr8PnCBVg==" saltValue="QvhvqblRnObOUNNd1don0A==" spinCount="100000" sheet="1" objects="1" scenarios="1"/>
  <mergeCells count="7">
    <mergeCell ref="V1:X1"/>
    <mergeCell ref="Z1:AB1"/>
    <mergeCell ref="A1:D1"/>
    <mergeCell ref="F1:H1"/>
    <mergeCell ref="J1:L1"/>
    <mergeCell ref="N1:P1"/>
    <mergeCell ref="R1:T1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3F8F68"/>
  </sheetPr>
  <dimension ref="A1:AB214"/>
  <sheetViews>
    <sheetView showGridLines="0" zoomScale="115" zoomScaleNormal="115" workbookViewId="0">
      <selection activeCell="H132" sqref="H132"/>
    </sheetView>
  </sheetViews>
  <sheetFormatPr defaultColWidth="8.54296875" defaultRowHeight="14.5" x14ac:dyDescent="0.35"/>
  <cols>
    <col min="1" max="1" width="7.81640625" customWidth="1"/>
    <col min="2" max="3" width="21.1796875" customWidth="1"/>
    <col min="4" max="4" width="10.1796875" customWidth="1"/>
    <col min="5" max="5" width="13.81640625" customWidth="1"/>
    <col min="6" max="8" width="8.54296875" style="7"/>
    <col min="18" max="20" width="8.54296875" style="7"/>
    <col min="23" max="24" width="9.7265625" customWidth="1"/>
    <col min="27" max="28" width="9.7265625" customWidth="1"/>
  </cols>
  <sheetData>
    <row r="1" spans="1:28" x14ac:dyDescent="0.35">
      <c r="A1" s="78" t="s">
        <v>121</v>
      </c>
      <c r="B1" s="78"/>
      <c r="C1" s="78"/>
      <c r="D1" s="78"/>
      <c r="F1" s="78" t="s">
        <v>122</v>
      </c>
      <c r="G1" s="78"/>
      <c r="H1" s="78"/>
      <c r="I1" s="7"/>
      <c r="J1" s="78" t="s">
        <v>125</v>
      </c>
      <c r="K1" s="78"/>
      <c r="L1" s="78"/>
      <c r="M1" s="7"/>
      <c r="N1" s="78" t="s">
        <v>124</v>
      </c>
      <c r="O1" s="78"/>
      <c r="P1" s="78"/>
      <c r="Q1" s="7"/>
      <c r="R1" s="78" t="s">
        <v>122</v>
      </c>
      <c r="S1" s="78"/>
      <c r="T1" s="78"/>
      <c r="U1" s="7"/>
      <c r="V1" s="78" t="s">
        <v>123</v>
      </c>
      <c r="W1" s="78"/>
      <c r="X1" s="78"/>
      <c r="Y1" s="7"/>
      <c r="Z1" s="78" t="s">
        <v>124</v>
      </c>
      <c r="AA1" s="78"/>
      <c r="AB1" s="78"/>
    </row>
    <row r="2" spans="1:28" ht="19" customHeight="1" x14ac:dyDescent="0.35">
      <c r="A2" s="11"/>
      <c r="B2" s="11" t="s">
        <v>126</v>
      </c>
      <c r="C2" s="11" t="s">
        <v>127</v>
      </c>
      <c r="D2" s="11" t="s">
        <v>128</v>
      </c>
      <c r="F2" s="11" t="s">
        <v>126</v>
      </c>
      <c r="G2" s="11" t="s">
        <v>127</v>
      </c>
      <c r="H2" s="11" t="s">
        <v>128</v>
      </c>
      <c r="I2" s="7"/>
      <c r="J2" s="11" t="s">
        <v>126</v>
      </c>
      <c r="K2" s="11" t="s">
        <v>127</v>
      </c>
      <c r="L2" s="11" t="s">
        <v>128</v>
      </c>
      <c r="M2" s="7"/>
      <c r="N2" s="11" t="s">
        <v>126</v>
      </c>
      <c r="O2" s="11" t="s">
        <v>127</v>
      </c>
      <c r="P2" s="11" t="s">
        <v>128</v>
      </c>
      <c r="Q2" s="7"/>
      <c r="R2" s="11" t="s">
        <v>126</v>
      </c>
      <c r="S2" s="11" t="s">
        <v>127</v>
      </c>
      <c r="T2" s="11" t="s">
        <v>128</v>
      </c>
      <c r="U2" s="7"/>
      <c r="V2" s="11" t="s">
        <v>126</v>
      </c>
      <c r="W2" s="11" t="s">
        <v>127</v>
      </c>
      <c r="X2" s="11" t="s">
        <v>128</v>
      </c>
      <c r="Y2" s="7"/>
      <c r="Z2" s="11" t="s">
        <v>126</v>
      </c>
      <c r="AA2" s="11" t="s">
        <v>127</v>
      </c>
      <c r="AB2" s="11" t="s">
        <v>128</v>
      </c>
    </row>
    <row r="3" spans="1:28" x14ac:dyDescent="0.35">
      <c r="A3" s="17">
        <v>2000</v>
      </c>
      <c r="B3" s="18">
        <f t="shared" ref="B3:B34" si="0">B58</f>
        <v>8619</v>
      </c>
      <c r="C3" s="18">
        <f t="shared" ref="C3:C34" si="1">B111</f>
        <v>21284</v>
      </c>
      <c r="D3" s="18">
        <f t="shared" ref="D3:D34" si="2">B164</f>
        <v>12284</v>
      </c>
      <c r="F3" s="44">
        <v>0.25</v>
      </c>
      <c r="G3" s="44">
        <v>0.17</v>
      </c>
      <c r="H3" s="44">
        <v>6.0000000000000001E-3</v>
      </c>
      <c r="I3" s="7"/>
      <c r="J3" s="44">
        <v>0.25</v>
      </c>
      <c r="K3" s="44">
        <v>0.17</v>
      </c>
      <c r="L3" s="44">
        <v>6.0000000000000001E-3</v>
      </c>
      <c r="M3" s="7"/>
      <c r="N3" s="44">
        <v>0.25</v>
      </c>
      <c r="O3" s="44">
        <v>0.17</v>
      </c>
      <c r="P3" s="44">
        <v>6.0000000000000001E-3</v>
      </c>
      <c r="Q3" s="7"/>
      <c r="R3" s="18">
        <f t="shared" ref="R3:R34" si="3">F3*B3</f>
        <v>2154.75</v>
      </c>
      <c r="S3" s="18">
        <f t="shared" ref="S3:S34" si="4">G3*C3</f>
        <v>3618.28</v>
      </c>
      <c r="T3" s="18">
        <f t="shared" ref="T3:T34" si="5">H3*D3</f>
        <v>73.704000000000008</v>
      </c>
      <c r="U3" s="7"/>
      <c r="V3" s="18">
        <f t="shared" ref="V3:V34" si="6">J3*B3</f>
        <v>2154.75</v>
      </c>
      <c r="W3" s="18">
        <f t="shared" ref="W3:W34" si="7">K3*C3</f>
        <v>3618.28</v>
      </c>
      <c r="X3" s="18">
        <f t="shared" ref="X3:X34" si="8">L3*D3</f>
        <v>73.704000000000008</v>
      </c>
      <c r="Y3" s="7"/>
      <c r="Z3" s="18">
        <f t="shared" ref="Z3:Z34" si="9">N3*B3</f>
        <v>2154.75</v>
      </c>
      <c r="AA3" s="18">
        <f t="shared" ref="AA3:AA34" si="10">O3*C3</f>
        <v>3618.28</v>
      </c>
      <c r="AB3" s="18">
        <f t="shared" ref="AB3:AB34" si="11">P3*D3</f>
        <v>73.704000000000008</v>
      </c>
    </row>
    <row r="4" spans="1:28" x14ac:dyDescent="0.35">
      <c r="A4" s="17">
        <v>2001</v>
      </c>
      <c r="B4" s="18">
        <f t="shared" si="0"/>
        <v>8565</v>
      </c>
      <c r="C4" s="18">
        <f t="shared" si="1"/>
        <v>21954</v>
      </c>
      <c r="D4" s="18">
        <f t="shared" si="2"/>
        <v>13463</v>
      </c>
      <c r="F4" s="44">
        <v>0.26</v>
      </c>
      <c r="G4" s="44">
        <v>0.17</v>
      </c>
      <c r="H4" s="44">
        <v>7.0000000000000001E-3</v>
      </c>
      <c r="I4" s="7"/>
      <c r="J4" s="44">
        <v>0.26</v>
      </c>
      <c r="K4" s="44">
        <v>0.17</v>
      </c>
      <c r="L4" s="44">
        <v>7.0000000000000001E-3</v>
      </c>
      <c r="M4" s="7"/>
      <c r="N4" s="44">
        <v>0.26</v>
      </c>
      <c r="O4" s="44">
        <v>0.17</v>
      </c>
      <c r="P4" s="44">
        <v>7.0000000000000001E-3</v>
      </c>
      <c r="Q4" s="7"/>
      <c r="R4" s="18">
        <f t="shared" si="3"/>
        <v>2226.9</v>
      </c>
      <c r="S4" s="18">
        <f t="shared" si="4"/>
        <v>3732.1800000000003</v>
      </c>
      <c r="T4" s="18">
        <f t="shared" si="5"/>
        <v>94.241</v>
      </c>
      <c r="U4" s="7"/>
      <c r="V4" s="18">
        <f t="shared" si="6"/>
        <v>2226.9</v>
      </c>
      <c r="W4" s="18">
        <f t="shared" si="7"/>
        <v>3732.1800000000003</v>
      </c>
      <c r="X4" s="18">
        <f t="shared" si="8"/>
        <v>94.241</v>
      </c>
      <c r="Y4" s="7"/>
      <c r="Z4" s="18">
        <f t="shared" si="9"/>
        <v>2226.9</v>
      </c>
      <c r="AA4" s="18">
        <f t="shared" si="10"/>
        <v>3732.1800000000003</v>
      </c>
      <c r="AB4" s="18">
        <f t="shared" si="11"/>
        <v>94.241</v>
      </c>
    </row>
    <row r="5" spans="1:28" x14ac:dyDescent="0.35">
      <c r="A5" s="17">
        <v>2002</v>
      </c>
      <c r="B5" s="18">
        <f t="shared" si="0"/>
        <v>9494</v>
      </c>
      <c r="C5" s="18">
        <f t="shared" si="1"/>
        <v>22423</v>
      </c>
      <c r="D5" s="18">
        <f t="shared" si="2"/>
        <v>13897</v>
      </c>
      <c r="F5" s="44">
        <v>0.26</v>
      </c>
      <c r="G5" s="44">
        <v>0.17</v>
      </c>
      <c r="H5" s="44">
        <v>6.0000000000000001E-3</v>
      </c>
      <c r="I5" s="7"/>
      <c r="J5" s="44">
        <v>0.26</v>
      </c>
      <c r="K5" s="44">
        <v>0.17</v>
      </c>
      <c r="L5" s="44">
        <v>6.0000000000000001E-3</v>
      </c>
      <c r="M5" s="7"/>
      <c r="N5" s="44">
        <v>0.26</v>
      </c>
      <c r="O5" s="44">
        <v>0.17</v>
      </c>
      <c r="P5" s="44">
        <v>6.0000000000000001E-3</v>
      </c>
      <c r="Q5" s="7"/>
      <c r="R5" s="18">
        <f t="shared" si="3"/>
        <v>2468.44</v>
      </c>
      <c r="S5" s="18">
        <f t="shared" si="4"/>
        <v>3811.9100000000003</v>
      </c>
      <c r="T5" s="18">
        <f t="shared" si="5"/>
        <v>83.382000000000005</v>
      </c>
      <c r="U5" s="7"/>
      <c r="V5" s="18">
        <f t="shared" si="6"/>
        <v>2468.44</v>
      </c>
      <c r="W5" s="18">
        <f t="shared" si="7"/>
        <v>3811.9100000000003</v>
      </c>
      <c r="X5" s="18">
        <f t="shared" si="8"/>
        <v>83.382000000000005</v>
      </c>
      <c r="Y5" s="7"/>
      <c r="Z5" s="18">
        <f t="shared" si="9"/>
        <v>2468.44</v>
      </c>
      <c r="AA5" s="18">
        <f t="shared" si="10"/>
        <v>3811.9100000000003</v>
      </c>
      <c r="AB5" s="18">
        <f t="shared" si="11"/>
        <v>83.382000000000005</v>
      </c>
    </row>
    <row r="6" spans="1:28" x14ac:dyDescent="0.35">
      <c r="A6" s="17">
        <v>2003</v>
      </c>
      <c r="B6" s="18">
        <f t="shared" si="0"/>
        <v>9999</v>
      </c>
      <c r="C6" s="18">
        <f t="shared" si="1"/>
        <v>23074</v>
      </c>
      <c r="D6" s="18">
        <f t="shared" si="2"/>
        <v>14191</v>
      </c>
      <c r="F6" s="44">
        <v>0.25</v>
      </c>
      <c r="G6" s="44">
        <v>0.19</v>
      </c>
      <c r="H6" s="44">
        <v>6.0000000000000001E-3</v>
      </c>
      <c r="I6" s="7"/>
      <c r="J6" s="44">
        <v>0.25</v>
      </c>
      <c r="K6" s="44">
        <v>0.19</v>
      </c>
      <c r="L6" s="44">
        <v>6.0000000000000001E-3</v>
      </c>
      <c r="M6" s="7"/>
      <c r="N6" s="44">
        <v>0.25</v>
      </c>
      <c r="O6" s="44">
        <v>0.19</v>
      </c>
      <c r="P6" s="44">
        <v>6.0000000000000001E-3</v>
      </c>
      <c r="Q6" s="7"/>
      <c r="R6" s="18">
        <f t="shared" si="3"/>
        <v>2499.75</v>
      </c>
      <c r="S6" s="18">
        <f t="shared" si="4"/>
        <v>4384.0600000000004</v>
      </c>
      <c r="T6" s="18">
        <f t="shared" si="5"/>
        <v>85.146000000000001</v>
      </c>
      <c r="U6" s="7"/>
      <c r="V6" s="18">
        <f t="shared" si="6"/>
        <v>2499.75</v>
      </c>
      <c r="W6" s="18">
        <f t="shared" si="7"/>
        <v>4384.0600000000004</v>
      </c>
      <c r="X6" s="18">
        <f t="shared" si="8"/>
        <v>85.146000000000001</v>
      </c>
      <c r="Y6" s="7"/>
      <c r="Z6" s="18">
        <f t="shared" si="9"/>
        <v>2499.75</v>
      </c>
      <c r="AA6" s="18">
        <f t="shared" si="10"/>
        <v>4384.0600000000004</v>
      </c>
      <c r="AB6" s="18">
        <f t="shared" si="11"/>
        <v>85.146000000000001</v>
      </c>
    </row>
    <row r="7" spans="1:28" x14ac:dyDescent="0.35">
      <c r="A7" s="17">
        <v>2004</v>
      </c>
      <c r="B7" s="18">
        <f t="shared" si="0"/>
        <v>10276</v>
      </c>
      <c r="C7" s="18">
        <f t="shared" si="1"/>
        <v>23524</v>
      </c>
      <c r="D7" s="18">
        <f t="shared" si="2"/>
        <v>15583</v>
      </c>
      <c r="F7" s="44">
        <v>0.26</v>
      </c>
      <c r="G7" s="44">
        <v>0.2</v>
      </c>
      <c r="H7" s="44">
        <v>6.0000000000000001E-3</v>
      </c>
      <c r="I7" s="7"/>
      <c r="J7" s="44">
        <v>0.26</v>
      </c>
      <c r="K7" s="44">
        <v>0.2</v>
      </c>
      <c r="L7" s="44">
        <v>6.0000000000000001E-3</v>
      </c>
      <c r="M7" s="7"/>
      <c r="N7" s="44">
        <v>0.26</v>
      </c>
      <c r="O7" s="44">
        <v>0.2</v>
      </c>
      <c r="P7" s="44">
        <v>6.0000000000000001E-3</v>
      </c>
      <c r="Q7" s="7"/>
      <c r="R7" s="18">
        <f t="shared" si="3"/>
        <v>2671.76</v>
      </c>
      <c r="S7" s="18">
        <f t="shared" si="4"/>
        <v>4704.8</v>
      </c>
      <c r="T7" s="18">
        <f t="shared" si="5"/>
        <v>93.498000000000005</v>
      </c>
      <c r="U7" s="7"/>
      <c r="V7" s="18">
        <f t="shared" si="6"/>
        <v>2671.76</v>
      </c>
      <c r="W7" s="18">
        <f t="shared" si="7"/>
        <v>4704.8</v>
      </c>
      <c r="X7" s="18">
        <f t="shared" si="8"/>
        <v>93.498000000000005</v>
      </c>
      <c r="Y7" s="7"/>
      <c r="Z7" s="18">
        <f t="shared" si="9"/>
        <v>2671.76</v>
      </c>
      <c r="AA7" s="18">
        <f t="shared" si="10"/>
        <v>4704.8</v>
      </c>
      <c r="AB7" s="18">
        <f t="shared" si="11"/>
        <v>93.498000000000005</v>
      </c>
    </row>
    <row r="8" spans="1:28" x14ac:dyDescent="0.35">
      <c r="A8" s="17">
        <v>2005</v>
      </c>
      <c r="B8" s="18">
        <f t="shared" si="0"/>
        <v>11689</v>
      </c>
      <c r="C8" s="18">
        <f t="shared" si="1"/>
        <v>24075</v>
      </c>
      <c r="D8" s="18">
        <f t="shared" si="2"/>
        <v>16723</v>
      </c>
      <c r="F8" s="44">
        <v>0.23</v>
      </c>
      <c r="G8" s="44">
        <v>0.2</v>
      </c>
      <c r="H8" s="44">
        <v>6.0000000000000001E-3</v>
      </c>
      <c r="I8" s="7"/>
      <c r="J8" s="44">
        <v>0.23</v>
      </c>
      <c r="K8" s="44">
        <v>0.2</v>
      </c>
      <c r="L8" s="44">
        <v>6.0000000000000001E-3</v>
      </c>
      <c r="M8" s="7"/>
      <c r="N8" s="44">
        <v>0.23</v>
      </c>
      <c r="O8" s="44">
        <v>0.2</v>
      </c>
      <c r="P8" s="44">
        <v>6.0000000000000001E-3</v>
      </c>
      <c r="Q8" s="7"/>
      <c r="R8" s="18">
        <f t="shared" si="3"/>
        <v>2688.4700000000003</v>
      </c>
      <c r="S8" s="18">
        <f t="shared" si="4"/>
        <v>4815</v>
      </c>
      <c r="T8" s="18">
        <f t="shared" si="5"/>
        <v>100.33800000000001</v>
      </c>
      <c r="U8" s="7"/>
      <c r="V8" s="18">
        <f t="shared" si="6"/>
        <v>2688.4700000000003</v>
      </c>
      <c r="W8" s="18">
        <f t="shared" si="7"/>
        <v>4815</v>
      </c>
      <c r="X8" s="18">
        <f t="shared" si="8"/>
        <v>100.33800000000001</v>
      </c>
      <c r="Y8" s="7"/>
      <c r="Z8" s="18">
        <f t="shared" si="9"/>
        <v>2688.4700000000003</v>
      </c>
      <c r="AA8" s="18">
        <f t="shared" si="10"/>
        <v>4815</v>
      </c>
      <c r="AB8" s="18">
        <f t="shared" si="11"/>
        <v>100.33800000000001</v>
      </c>
    </row>
    <row r="9" spans="1:28" x14ac:dyDescent="0.35">
      <c r="A9" s="17">
        <v>2006</v>
      </c>
      <c r="B9" s="18">
        <f t="shared" si="0"/>
        <v>12044</v>
      </c>
      <c r="C9" s="18">
        <f t="shared" si="1"/>
        <v>25309</v>
      </c>
      <c r="D9" s="18">
        <f t="shared" si="2"/>
        <v>18029</v>
      </c>
      <c r="F9" s="44">
        <v>0.23</v>
      </c>
      <c r="G9" s="44">
        <v>0.21</v>
      </c>
      <c r="H9" s="44">
        <v>5.0000000000000001E-3</v>
      </c>
      <c r="I9" s="7"/>
      <c r="J9" s="44">
        <v>0.23</v>
      </c>
      <c r="K9" s="44">
        <v>0.21</v>
      </c>
      <c r="L9" s="44">
        <v>5.0000000000000001E-3</v>
      </c>
      <c r="M9" s="7"/>
      <c r="N9" s="44">
        <v>0.23</v>
      </c>
      <c r="O9" s="44">
        <v>0.21</v>
      </c>
      <c r="P9" s="44">
        <v>5.0000000000000001E-3</v>
      </c>
      <c r="Q9" s="7"/>
      <c r="R9" s="18">
        <f t="shared" si="3"/>
        <v>2770.1200000000003</v>
      </c>
      <c r="S9" s="18">
        <f t="shared" si="4"/>
        <v>5314.8899999999994</v>
      </c>
      <c r="T9" s="18">
        <f t="shared" si="5"/>
        <v>90.144999999999996</v>
      </c>
      <c r="U9" s="7"/>
      <c r="V9" s="18">
        <f t="shared" si="6"/>
        <v>2770.1200000000003</v>
      </c>
      <c r="W9" s="18">
        <f t="shared" si="7"/>
        <v>5314.8899999999994</v>
      </c>
      <c r="X9" s="18">
        <f t="shared" si="8"/>
        <v>90.144999999999996</v>
      </c>
      <c r="Y9" s="7"/>
      <c r="Z9" s="18">
        <f t="shared" si="9"/>
        <v>2770.1200000000003</v>
      </c>
      <c r="AA9" s="18">
        <f t="shared" si="10"/>
        <v>5314.8899999999994</v>
      </c>
      <c r="AB9" s="18">
        <f t="shared" si="11"/>
        <v>90.144999999999996</v>
      </c>
    </row>
    <row r="10" spans="1:28" x14ac:dyDescent="0.35">
      <c r="A10" s="17">
        <v>2007</v>
      </c>
      <c r="B10" s="18">
        <f t="shared" si="0"/>
        <v>12336</v>
      </c>
      <c r="C10" s="18">
        <f t="shared" si="1"/>
        <v>24811</v>
      </c>
      <c r="D10" s="18">
        <f t="shared" si="2"/>
        <v>21435</v>
      </c>
      <c r="F10" s="44">
        <v>0.24</v>
      </c>
      <c r="G10" s="44">
        <v>0.22</v>
      </c>
      <c r="H10" s="44">
        <v>3.0000000000000001E-3</v>
      </c>
      <c r="I10" s="7"/>
      <c r="J10" s="44">
        <v>0.24</v>
      </c>
      <c r="K10" s="44">
        <v>0.22</v>
      </c>
      <c r="L10" s="44">
        <v>3.0000000000000001E-3</v>
      </c>
      <c r="M10" s="7"/>
      <c r="N10" s="44">
        <v>0.24</v>
      </c>
      <c r="O10" s="44">
        <v>0.22</v>
      </c>
      <c r="P10" s="44">
        <v>3.0000000000000001E-3</v>
      </c>
      <c r="Q10" s="7"/>
      <c r="R10" s="18">
        <f t="shared" si="3"/>
        <v>2960.64</v>
      </c>
      <c r="S10" s="18">
        <f t="shared" si="4"/>
        <v>5458.42</v>
      </c>
      <c r="T10" s="18">
        <f t="shared" si="5"/>
        <v>64.305000000000007</v>
      </c>
      <c r="U10" s="7"/>
      <c r="V10" s="18">
        <f t="shared" si="6"/>
        <v>2960.64</v>
      </c>
      <c r="W10" s="18">
        <f t="shared" si="7"/>
        <v>5458.42</v>
      </c>
      <c r="X10" s="18">
        <f t="shared" si="8"/>
        <v>64.305000000000007</v>
      </c>
      <c r="Y10" s="7"/>
      <c r="Z10" s="18">
        <f t="shared" si="9"/>
        <v>2960.64</v>
      </c>
      <c r="AA10" s="18">
        <f t="shared" si="10"/>
        <v>5458.42</v>
      </c>
      <c r="AB10" s="18">
        <f t="shared" si="11"/>
        <v>64.305000000000007</v>
      </c>
    </row>
    <row r="11" spans="1:28" x14ac:dyDescent="0.35">
      <c r="A11" s="17">
        <v>2008</v>
      </c>
      <c r="B11" s="18">
        <f t="shared" si="0"/>
        <v>11058</v>
      </c>
      <c r="C11" s="18">
        <f t="shared" si="1"/>
        <v>25068</v>
      </c>
      <c r="D11" s="18">
        <f t="shared" si="2"/>
        <v>21491</v>
      </c>
      <c r="F11" s="44">
        <v>0.24</v>
      </c>
      <c r="G11" s="44">
        <v>0.24</v>
      </c>
      <c r="H11" s="44">
        <v>4.0000000000000001E-3</v>
      </c>
      <c r="I11" s="7"/>
      <c r="J11" s="44">
        <v>0.24</v>
      </c>
      <c r="K11" s="44">
        <v>0.24</v>
      </c>
      <c r="L11" s="44">
        <v>4.0000000000000001E-3</v>
      </c>
      <c r="M11" s="7"/>
      <c r="N11" s="44">
        <v>0.24</v>
      </c>
      <c r="O11" s="44">
        <v>0.24</v>
      </c>
      <c r="P11" s="44">
        <v>4.0000000000000001E-3</v>
      </c>
      <c r="Q11" s="7"/>
      <c r="R11" s="18">
        <f t="shared" si="3"/>
        <v>2653.92</v>
      </c>
      <c r="S11" s="18">
        <f t="shared" si="4"/>
        <v>6016.32</v>
      </c>
      <c r="T11" s="18">
        <f t="shared" si="5"/>
        <v>85.963999999999999</v>
      </c>
      <c r="U11" s="7"/>
      <c r="V11" s="18">
        <f t="shared" si="6"/>
        <v>2653.92</v>
      </c>
      <c r="W11" s="18">
        <f t="shared" si="7"/>
        <v>6016.32</v>
      </c>
      <c r="X11" s="18">
        <f t="shared" si="8"/>
        <v>85.963999999999999</v>
      </c>
      <c r="Y11" s="7"/>
      <c r="Z11" s="18">
        <f t="shared" si="9"/>
        <v>2653.92</v>
      </c>
      <c r="AA11" s="18">
        <f t="shared" si="10"/>
        <v>6016.32</v>
      </c>
      <c r="AB11" s="18">
        <f t="shared" si="11"/>
        <v>85.963999999999999</v>
      </c>
    </row>
    <row r="12" spans="1:28" x14ac:dyDescent="0.35">
      <c r="A12" s="17">
        <v>2009</v>
      </c>
      <c r="B12" s="18">
        <f t="shared" si="0"/>
        <v>9711</v>
      </c>
      <c r="C12" s="18">
        <f t="shared" si="1"/>
        <v>25129</v>
      </c>
      <c r="D12" s="18">
        <f t="shared" si="2"/>
        <v>17515</v>
      </c>
      <c r="F12" s="44">
        <v>0.24</v>
      </c>
      <c r="G12" s="44">
        <v>0.23</v>
      </c>
      <c r="H12" s="44">
        <v>4.0000000000000001E-3</v>
      </c>
      <c r="I12" s="7"/>
      <c r="J12" s="44">
        <v>0.24</v>
      </c>
      <c r="K12" s="44">
        <v>0.23</v>
      </c>
      <c r="L12" s="44">
        <v>4.0000000000000001E-3</v>
      </c>
      <c r="M12" s="7"/>
      <c r="N12" s="44">
        <v>0.24</v>
      </c>
      <c r="O12" s="44">
        <v>0.23</v>
      </c>
      <c r="P12" s="44">
        <v>4.0000000000000001E-3</v>
      </c>
      <c r="Q12" s="7"/>
      <c r="R12" s="18">
        <f t="shared" si="3"/>
        <v>2330.64</v>
      </c>
      <c r="S12" s="18">
        <f t="shared" si="4"/>
        <v>5779.67</v>
      </c>
      <c r="T12" s="18">
        <f t="shared" si="5"/>
        <v>70.06</v>
      </c>
      <c r="U12" s="7"/>
      <c r="V12" s="18">
        <f t="shared" si="6"/>
        <v>2330.64</v>
      </c>
      <c r="W12" s="18">
        <f t="shared" si="7"/>
        <v>5779.67</v>
      </c>
      <c r="X12" s="18">
        <f t="shared" si="8"/>
        <v>70.06</v>
      </c>
      <c r="Y12" s="7"/>
      <c r="Z12" s="18">
        <f t="shared" si="9"/>
        <v>2330.64</v>
      </c>
      <c r="AA12" s="18">
        <f t="shared" si="10"/>
        <v>5779.67</v>
      </c>
      <c r="AB12" s="18">
        <f t="shared" si="11"/>
        <v>70.06</v>
      </c>
    </row>
    <row r="13" spans="1:28" x14ac:dyDescent="0.35">
      <c r="A13" s="17">
        <v>2010</v>
      </c>
      <c r="B13" s="18">
        <f t="shared" si="0"/>
        <v>10572</v>
      </c>
      <c r="C13" s="18">
        <f t="shared" si="1"/>
        <v>25530</v>
      </c>
      <c r="D13" s="18">
        <f t="shared" si="2"/>
        <v>18040</v>
      </c>
      <c r="F13" s="44">
        <v>0.24</v>
      </c>
      <c r="G13" s="44">
        <v>0.21</v>
      </c>
      <c r="H13" s="44">
        <v>4.0000000000000001E-3</v>
      </c>
      <c r="I13" s="7"/>
      <c r="J13" s="44">
        <v>0.24</v>
      </c>
      <c r="K13" s="44">
        <v>0.21</v>
      </c>
      <c r="L13" s="44">
        <v>4.0000000000000001E-3</v>
      </c>
      <c r="M13" s="7"/>
      <c r="N13" s="44">
        <v>0.24</v>
      </c>
      <c r="O13" s="44">
        <v>0.21</v>
      </c>
      <c r="P13" s="44">
        <v>4.0000000000000001E-3</v>
      </c>
      <c r="Q13" s="7"/>
      <c r="R13" s="18">
        <f t="shared" si="3"/>
        <v>2537.2799999999997</v>
      </c>
      <c r="S13" s="18">
        <f t="shared" si="4"/>
        <v>5361.3</v>
      </c>
      <c r="T13" s="18">
        <f t="shared" si="5"/>
        <v>72.16</v>
      </c>
      <c r="U13" s="7"/>
      <c r="V13" s="18">
        <f t="shared" si="6"/>
        <v>2537.2799999999997</v>
      </c>
      <c r="W13" s="18">
        <f t="shared" si="7"/>
        <v>5361.3</v>
      </c>
      <c r="X13" s="18">
        <f t="shared" si="8"/>
        <v>72.16</v>
      </c>
      <c r="Y13" s="7"/>
      <c r="Z13" s="18">
        <f t="shared" si="9"/>
        <v>2537.2799999999997</v>
      </c>
      <c r="AA13" s="18">
        <f t="shared" si="10"/>
        <v>5361.3</v>
      </c>
      <c r="AB13" s="18">
        <f t="shared" si="11"/>
        <v>72.16</v>
      </c>
    </row>
    <row r="14" spans="1:28" x14ac:dyDescent="0.35">
      <c r="A14" s="17">
        <v>2011</v>
      </c>
      <c r="B14" s="18">
        <f t="shared" si="0"/>
        <v>11323</v>
      </c>
      <c r="C14" s="18">
        <f t="shared" si="1"/>
        <v>24618</v>
      </c>
      <c r="D14" s="18">
        <f t="shared" si="2"/>
        <v>17958</v>
      </c>
      <c r="F14" s="44">
        <v>0.24</v>
      </c>
      <c r="G14" s="44">
        <v>0.23</v>
      </c>
      <c r="H14" s="44">
        <v>4.0000000000000001E-3</v>
      </c>
      <c r="I14" s="7"/>
      <c r="J14" s="44">
        <v>0.24</v>
      </c>
      <c r="K14" s="44">
        <v>0.23</v>
      </c>
      <c r="L14" s="44">
        <v>4.0000000000000001E-3</v>
      </c>
      <c r="M14" s="7"/>
      <c r="N14" s="44">
        <v>0.24</v>
      </c>
      <c r="O14" s="44">
        <v>0.23</v>
      </c>
      <c r="P14" s="44">
        <v>4.0000000000000001E-3</v>
      </c>
      <c r="Q14" s="7"/>
      <c r="R14" s="18">
        <f t="shared" si="3"/>
        <v>2717.52</v>
      </c>
      <c r="S14" s="18">
        <f t="shared" si="4"/>
        <v>5662.14</v>
      </c>
      <c r="T14" s="18">
        <f t="shared" si="5"/>
        <v>71.832000000000008</v>
      </c>
      <c r="U14" s="7"/>
      <c r="V14" s="18">
        <f t="shared" si="6"/>
        <v>2717.52</v>
      </c>
      <c r="W14" s="18">
        <f t="shared" si="7"/>
        <v>5662.14</v>
      </c>
      <c r="X14" s="18">
        <f t="shared" si="8"/>
        <v>71.832000000000008</v>
      </c>
      <c r="Y14" s="7"/>
      <c r="Z14" s="18">
        <f t="shared" si="9"/>
        <v>2717.52</v>
      </c>
      <c r="AA14" s="18">
        <f t="shared" si="10"/>
        <v>5662.14</v>
      </c>
      <c r="AB14" s="18">
        <f t="shared" si="11"/>
        <v>71.832000000000008</v>
      </c>
    </row>
    <row r="15" spans="1:28" x14ac:dyDescent="0.35">
      <c r="A15" s="17">
        <v>2012</v>
      </c>
      <c r="B15" s="18">
        <f t="shared" si="0"/>
        <v>11987</v>
      </c>
      <c r="C15" s="18">
        <f t="shared" si="1"/>
        <v>24968</v>
      </c>
      <c r="D15" s="18">
        <f t="shared" si="2"/>
        <v>18311</v>
      </c>
      <c r="F15" s="44">
        <v>0.23</v>
      </c>
      <c r="G15" s="44">
        <v>0.23</v>
      </c>
      <c r="H15" s="44">
        <v>4.0000000000000001E-3</v>
      </c>
      <c r="I15" s="7"/>
      <c r="J15" s="44">
        <v>0.23</v>
      </c>
      <c r="K15" s="44">
        <v>0.23</v>
      </c>
      <c r="L15" s="44">
        <v>4.0000000000000001E-3</v>
      </c>
      <c r="M15" s="7"/>
      <c r="N15" s="44">
        <v>0.23</v>
      </c>
      <c r="O15" s="44">
        <v>0.23</v>
      </c>
      <c r="P15" s="44">
        <v>4.0000000000000001E-3</v>
      </c>
      <c r="Q15" s="7"/>
      <c r="R15" s="18">
        <f t="shared" si="3"/>
        <v>2757.01</v>
      </c>
      <c r="S15" s="18">
        <f t="shared" si="4"/>
        <v>5742.64</v>
      </c>
      <c r="T15" s="18">
        <f t="shared" si="5"/>
        <v>73.244</v>
      </c>
      <c r="U15" s="7"/>
      <c r="V15" s="18">
        <f t="shared" si="6"/>
        <v>2757.01</v>
      </c>
      <c r="W15" s="18">
        <f t="shared" si="7"/>
        <v>5742.64</v>
      </c>
      <c r="X15" s="18">
        <f t="shared" si="8"/>
        <v>73.244</v>
      </c>
      <c r="Y15" s="7"/>
      <c r="Z15" s="18">
        <f t="shared" si="9"/>
        <v>2757.01</v>
      </c>
      <c r="AA15" s="18">
        <f t="shared" si="10"/>
        <v>5742.64</v>
      </c>
      <c r="AB15" s="18">
        <f t="shared" si="11"/>
        <v>73.244</v>
      </c>
    </row>
    <row r="16" spans="1:28" x14ac:dyDescent="0.35">
      <c r="A16" s="17">
        <v>2013</v>
      </c>
      <c r="B16" s="18">
        <f t="shared" si="0"/>
        <v>11595</v>
      </c>
      <c r="C16" s="18">
        <f t="shared" si="1"/>
        <v>23980</v>
      </c>
      <c r="D16" s="18">
        <f t="shared" si="2"/>
        <v>18361</v>
      </c>
      <c r="F16" s="44">
        <v>0.25</v>
      </c>
      <c r="G16" s="44">
        <v>0.24</v>
      </c>
      <c r="H16" s="44">
        <v>4.0000000000000001E-3</v>
      </c>
      <c r="I16" s="7"/>
      <c r="J16" s="44">
        <v>0.25</v>
      </c>
      <c r="K16" s="44">
        <v>0.24</v>
      </c>
      <c r="L16" s="44">
        <v>4.0000000000000001E-3</v>
      </c>
      <c r="M16" s="7"/>
      <c r="N16" s="44">
        <v>0.25</v>
      </c>
      <c r="O16" s="44">
        <v>0.24</v>
      </c>
      <c r="P16" s="44">
        <v>4.0000000000000001E-3</v>
      </c>
      <c r="Q16" s="7"/>
      <c r="R16" s="18">
        <f t="shared" si="3"/>
        <v>2898.75</v>
      </c>
      <c r="S16" s="18">
        <f t="shared" si="4"/>
        <v>5755.2</v>
      </c>
      <c r="T16" s="18">
        <f t="shared" si="5"/>
        <v>73.444000000000003</v>
      </c>
      <c r="U16" s="7"/>
      <c r="V16" s="18">
        <f t="shared" si="6"/>
        <v>2898.75</v>
      </c>
      <c r="W16" s="18">
        <f t="shared" si="7"/>
        <v>5755.2</v>
      </c>
      <c r="X16" s="18">
        <f t="shared" si="8"/>
        <v>73.444000000000003</v>
      </c>
      <c r="Y16" s="7"/>
      <c r="Z16" s="18">
        <f t="shared" si="9"/>
        <v>2898.75</v>
      </c>
      <c r="AA16" s="18">
        <f t="shared" si="10"/>
        <v>5755.2</v>
      </c>
      <c r="AB16" s="18">
        <f t="shared" si="11"/>
        <v>73.444000000000003</v>
      </c>
    </row>
    <row r="17" spans="1:28" x14ac:dyDescent="0.35">
      <c r="A17" s="17">
        <v>2014</v>
      </c>
      <c r="B17" s="18">
        <f t="shared" si="0"/>
        <v>11614</v>
      </c>
      <c r="C17" s="18">
        <f t="shared" si="1"/>
        <v>23118</v>
      </c>
      <c r="D17" s="18">
        <f t="shared" si="2"/>
        <v>20356</v>
      </c>
      <c r="F17" s="44">
        <v>0.26</v>
      </c>
      <c r="G17" s="44">
        <v>0.25</v>
      </c>
      <c r="H17" s="44">
        <v>3.0000000000000001E-3</v>
      </c>
      <c r="I17" s="7"/>
      <c r="J17" s="44">
        <v>0.26</v>
      </c>
      <c r="K17" s="44">
        <v>0.25</v>
      </c>
      <c r="L17" s="44">
        <v>3.0000000000000001E-3</v>
      </c>
      <c r="M17" s="7"/>
      <c r="N17" s="44">
        <v>0.26</v>
      </c>
      <c r="O17" s="44">
        <v>0.25</v>
      </c>
      <c r="P17" s="44">
        <v>3.0000000000000001E-3</v>
      </c>
      <c r="Q17" s="7"/>
      <c r="R17" s="18">
        <f t="shared" si="3"/>
        <v>3019.6400000000003</v>
      </c>
      <c r="S17" s="18">
        <f t="shared" si="4"/>
        <v>5779.5</v>
      </c>
      <c r="T17" s="18">
        <f t="shared" si="5"/>
        <v>61.067999999999998</v>
      </c>
      <c r="U17" s="7"/>
      <c r="V17" s="18">
        <f t="shared" si="6"/>
        <v>3019.6400000000003</v>
      </c>
      <c r="W17" s="18">
        <f t="shared" si="7"/>
        <v>5779.5</v>
      </c>
      <c r="X17" s="18">
        <f t="shared" si="8"/>
        <v>61.067999999999998</v>
      </c>
      <c r="Y17" s="7"/>
      <c r="Z17" s="18">
        <f t="shared" si="9"/>
        <v>3019.6400000000003</v>
      </c>
      <c r="AA17" s="18">
        <f t="shared" si="10"/>
        <v>5779.5</v>
      </c>
      <c r="AB17" s="18">
        <f t="shared" si="11"/>
        <v>61.067999999999998</v>
      </c>
    </row>
    <row r="18" spans="1:28" x14ac:dyDescent="0.35">
      <c r="A18" s="17">
        <v>2015</v>
      </c>
      <c r="B18" s="18">
        <f t="shared" si="0"/>
        <v>10996</v>
      </c>
      <c r="C18" s="18">
        <f t="shared" si="1"/>
        <v>22505</v>
      </c>
      <c r="D18" s="18">
        <f t="shared" si="2"/>
        <v>21450</v>
      </c>
      <c r="F18" s="44">
        <v>0.28999999999999998</v>
      </c>
      <c r="G18" s="44">
        <v>0.26</v>
      </c>
      <c r="H18" s="44">
        <v>3.0000000000000001E-3</v>
      </c>
      <c r="I18" s="7"/>
      <c r="J18" s="44">
        <v>0.28999999999999998</v>
      </c>
      <c r="K18" s="44">
        <v>0.26</v>
      </c>
      <c r="L18" s="44">
        <v>3.0000000000000001E-3</v>
      </c>
      <c r="M18" s="7"/>
      <c r="N18" s="44">
        <v>0.28999999999999998</v>
      </c>
      <c r="O18" s="44">
        <v>0.26</v>
      </c>
      <c r="P18" s="44">
        <v>3.0000000000000001E-3</v>
      </c>
      <c r="Q18" s="7"/>
      <c r="R18" s="18">
        <f t="shared" si="3"/>
        <v>3188.8399999999997</v>
      </c>
      <c r="S18" s="18">
        <f t="shared" si="4"/>
        <v>5851.3</v>
      </c>
      <c r="T18" s="18">
        <f t="shared" si="5"/>
        <v>64.349999999999994</v>
      </c>
      <c r="U18" s="7"/>
      <c r="V18" s="18">
        <f t="shared" si="6"/>
        <v>3188.8399999999997</v>
      </c>
      <c r="W18" s="18">
        <f t="shared" si="7"/>
        <v>5851.3</v>
      </c>
      <c r="X18" s="18">
        <f t="shared" si="8"/>
        <v>64.349999999999994</v>
      </c>
      <c r="Y18" s="7"/>
      <c r="Z18" s="18">
        <f t="shared" si="9"/>
        <v>3188.8399999999997</v>
      </c>
      <c r="AA18" s="18">
        <f t="shared" si="10"/>
        <v>5851.3</v>
      </c>
      <c r="AB18" s="18">
        <f t="shared" si="11"/>
        <v>64.349999999999994</v>
      </c>
    </row>
    <row r="19" spans="1:28" x14ac:dyDescent="0.35">
      <c r="A19" s="17">
        <v>2016</v>
      </c>
      <c r="B19" s="18">
        <f t="shared" si="0"/>
        <v>11059</v>
      </c>
      <c r="C19" s="18">
        <f t="shared" si="1"/>
        <v>23668</v>
      </c>
      <c r="D19" s="18">
        <f t="shared" si="2"/>
        <v>22906</v>
      </c>
      <c r="F19" s="44">
        <v>0.3</v>
      </c>
      <c r="G19" s="44">
        <v>0.26</v>
      </c>
      <c r="H19" s="44">
        <v>3.0000000000000001E-3</v>
      </c>
      <c r="I19" s="7"/>
      <c r="J19" s="44">
        <v>0.3</v>
      </c>
      <c r="K19" s="44">
        <v>0.26</v>
      </c>
      <c r="L19" s="44">
        <v>3.0000000000000001E-3</v>
      </c>
      <c r="M19" s="7"/>
      <c r="N19" s="44">
        <v>0.3</v>
      </c>
      <c r="O19" s="44">
        <v>0.26</v>
      </c>
      <c r="P19" s="44">
        <v>3.0000000000000001E-3</v>
      </c>
      <c r="Q19" s="7"/>
      <c r="R19" s="18">
        <f t="shared" si="3"/>
        <v>3317.7</v>
      </c>
      <c r="S19" s="18">
        <f t="shared" si="4"/>
        <v>6153.68</v>
      </c>
      <c r="T19" s="18">
        <f t="shared" si="5"/>
        <v>68.718000000000004</v>
      </c>
      <c r="U19" s="7"/>
      <c r="V19" s="18">
        <f t="shared" si="6"/>
        <v>3317.7</v>
      </c>
      <c r="W19" s="18">
        <f t="shared" si="7"/>
        <v>6153.68</v>
      </c>
      <c r="X19" s="18">
        <f t="shared" si="8"/>
        <v>68.718000000000004</v>
      </c>
      <c r="Y19" s="7"/>
      <c r="Z19" s="18">
        <f t="shared" si="9"/>
        <v>3317.7</v>
      </c>
      <c r="AA19" s="18">
        <f t="shared" si="10"/>
        <v>6153.68</v>
      </c>
      <c r="AB19" s="18">
        <f t="shared" si="11"/>
        <v>68.718000000000004</v>
      </c>
    </row>
    <row r="20" spans="1:28" x14ac:dyDescent="0.35">
      <c r="A20" s="17">
        <v>2017</v>
      </c>
      <c r="B20" s="18">
        <f t="shared" si="0"/>
        <v>11956</v>
      </c>
      <c r="C20" s="18">
        <f t="shared" si="1"/>
        <v>24307</v>
      </c>
      <c r="D20" s="18">
        <f t="shared" si="2"/>
        <v>24135</v>
      </c>
      <c r="F20" s="44">
        <v>0.28999999999999998</v>
      </c>
      <c r="G20" s="44">
        <v>0.25</v>
      </c>
      <c r="H20" s="44">
        <v>3.0000000000000001E-3</v>
      </c>
      <c r="I20" s="7"/>
      <c r="J20" s="44">
        <v>0.28999999999999998</v>
      </c>
      <c r="K20" s="44">
        <v>0.25</v>
      </c>
      <c r="L20" s="44">
        <v>3.0000000000000001E-3</v>
      </c>
      <c r="M20" s="7"/>
      <c r="N20" s="44">
        <v>0.28999999999999998</v>
      </c>
      <c r="O20" s="44">
        <v>0.25</v>
      </c>
      <c r="P20" s="44">
        <v>3.0000000000000001E-3</v>
      </c>
      <c r="Q20" s="7"/>
      <c r="R20" s="18">
        <f t="shared" si="3"/>
        <v>3467.24</v>
      </c>
      <c r="S20" s="18">
        <f t="shared" si="4"/>
        <v>6076.75</v>
      </c>
      <c r="T20" s="18">
        <f t="shared" si="5"/>
        <v>72.405000000000001</v>
      </c>
      <c r="U20" s="7"/>
      <c r="V20" s="18">
        <f t="shared" si="6"/>
        <v>3467.24</v>
      </c>
      <c r="W20" s="18">
        <f t="shared" si="7"/>
        <v>6076.75</v>
      </c>
      <c r="X20" s="18">
        <f t="shared" si="8"/>
        <v>72.405000000000001</v>
      </c>
      <c r="Y20" s="7"/>
      <c r="Z20" s="18">
        <f t="shared" si="9"/>
        <v>3467.24</v>
      </c>
      <c r="AA20" s="18">
        <f t="shared" si="10"/>
        <v>6076.75</v>
      </c>
      <c r="AB20" s="18">
        <f t="shared" si="11"/>
        <v>72.405000000000001</v>
      </c>
    </row>
    <row r="21" spans="1:28" x14ac:dyDescent="0.35">
      <c r="A21" s="17">
        <v>2018</v>
      </c>
      <c r="B21" s="18">
        <f t="shared" si="0"/>
        <v>12365</v>
      </c>
      <c r="C21" s="18">
        <f t="shared" si="1"/>
        <v>25162</v>
      </c>
      <c r="D21" s="18">
        <f t="shared" si="2"/>
        <v>25763</v>
      </c>
      <c r="F21" s="44">
        <v>0.28999999999999998</v>
      </c>
      <c r="G21" s="44">
        <v>0.26</v>
      </c>
      <c r="H21" s="44">
        <v>3.0000000000000001E-3</v>
      </c>
      <c r="I21" s="7"/>
      <c r="J21" s="44">
        <v>0.28999999999999998</v>
      </c>
      <c r="K21" s="44">
        <v>0.26</v>
      </c>
      <c r="L21" s="44">
        <v>3.0000000000000001E-3</v>
      </c>
      <c r="M21" s="7"/>
      <c r="N21" s="44">
        <v>0.28999999999999998</v>
      </c>
      <c r="O21" s="44">
        <v>0.26</v>
      </c>
      <c r="P21" s="44">
        <v>3.0000000000000001E-3</v>
      </c>
      <c r="Q21" s="7"/>
      <c r="R21" s="18">
        <f t="shared" si="3"/>
        <v>3585.85</v>
      </c>
      <c r="S21" s="18">
        <f t="shared" si="4"/>
        <v>6542.12</v>
      </c>
      <c r="T21" s="18">
        <f t="shared" si="5"/>
        <v>77.289000000000001</v>
      </c>
      <c r="U21" s="7"/>
      <c r="V21" s="18">
        <f t="shared" si="6"/>
        <v>3585.85</v>
      </c>
      <c r="W21" s="18">
        <f t="shared" si="7"/>
        <v>6542.12</v>
      </c>
      <c r="X21" s="18">
        <f t="shared" si="8"/>
        <v>77.289000000000001</v>
      </c>
      <c r="Y21" s="7"/>
      <c r="Z21" s="18">
        <f t="shared" si="9"/>
        <v>3585.85</v>
      </c>
      <c r="AA21" s="18">
        <f t="shared" si="10"/>
        <v>6542.12</v>
      </c>
      <c r="AB21" s="18">
        <f t="shared" si="11"/>
        <v>77.289000000000001</v>
      </c>
    </row>
    <row r="22" spans="1:28" x14ac:dyDescent="0.35">
      <c r="A22" s="17">
        <v>2019</v>
      </c>
      <c r="B22" s="18">
        <f t="shared" si="0"/>
        <v>12458</v>
      </c>
      <c r="C22" s="18">
        <f t="shared" si="1"/>
        <v>24129</v>
      </c>
      <c r="D22" s="18">
        <f t="shared" si="2"/>
        <v>26568</v>
      </c>
      <c r="F22" s="44">
        <v>0.28999999999999998</v>
      </c>
      <c r="G22" s="44">
        <v>0.27</v>
      </c>
      <c r="H22" s="44">
        <v>3.0000000000000001E-3</v>
      </c>
      <c r="I22" s="7"/>
      <c r="J22" s="44">
        <v>0.28999999999999998</v>
      </c>
      <c r="K22" s="44">
        <v>0.27</v>
      </c>
      <c r="L22" s="44">
        <v>3.0000000000000001E-3</v>
      </c>
      <c r="M22" s="7"/>
      <c r="N22" s="44">
        <v>0.28999999999999998</v>
      </c>
      <c r="O22" s="44">
        <v>0.27</v>
      </c>
      <c r="P22" s="44">
        <v>3.0000000000000001E-3</v>
      </c>
      <c r="Q22" s="7"/>
      <c r="R22" s="18">
        <f t="shared" si="3"/>
        <v>3612.8199999999997</v>
      </c>
      <c r="S22" s="18">
        <f t="shared" si="4"/>
        <v>6514.8300000000008</v>
      </c>
      <c r="T22" s="18">
        <f t="shared" si="5"/>
        <v>79.704000000000008</v>
      </c>
      <c r="U22" s="7"/>
      <c r="V22" s="18">
        <f t="shared" si="6"/>
        <v>3612.8199999999997</v>
      </c>
      <c r="W22" s="18">
        <f t="shared" si="7"/>
        <v>6514.8300000000008</v>
      </c>
      <c r="X22" s="18">
        <f t="shared" si="8"/>
        <v>79.704000000000008</v>
      </c>
      <c r="Y22" s="7"/>
      <c r="Z22" s="18">
        <f t="shared" si="9"/>
        <v>3612.8199999999997</v>
      </c>
      <c r="AA22" s="18">
        <f t="shared" si="10"/>
        <v>6514.8300000000008</v>
      </c>
      <c r="AB22" s="18">
        <f t="shared" si="11"/>
        <v>79.704000000000008</v>
      </c>
    </row>
    <row r="23" spans="1:28" x14ac:dyDescent="0.35">
      <c r="A23" s="17">
        <v>2020</v>
      </c>
      <c r="B23" s="18">
        <f t="shared" si="0"/>
        <v>11413</v>
      </c>
      <c r="C23" s="18">
        <f t="shared" si="1"/>
        <v>23374</v>
      </c>
      <c r="D23" s="18">
        <f t="shared" si="2"/>
        <v>25473</v>
      </c>
      <c r="F23" s="44">
        <v>0.31</v>
      </c>
      <c r="G23" s="44">
        <v>0.27</v>
      </c>
      <c r="H23" s="44">
        <v>3.0000000000000001E-3</v>
      </c>
      <c r="I23" s="7"/>
      <c r="J23" s="44">
        <v>0.31</v>
      </c>
      <c r="K23" s="44">
        <v>0.27</v>
      </c>
      <c r="L23" s="44">
        <v>3.0000000000000001E-3</v>
      </c>
      <c r="M23" s="7"/>
      <c r="N23" s="44">
        <v>0.31</v>
      </c>
      <c r="O23" s="44">
        <v>0.27</v>
      </c>
      <c r="P23" s="44">
        <v>3.0000000000000001E-3</v>
      </c>
      <c r="Q23" s="7"/>
      <c r="R23" s="18">
        <f t="shared" si="3"/>
        <v>3538.03</v>
      </c>
      <c r="S23" s="18">
        <f t="shared" si="4"/>
        <v>6310.9800000000005</v>
      </c>
      <c r="T23" s="18">
        <f t="shared" si="5"/>
        <v>76.418999999999997</v>
      </c>
      <c r="U23" s="7"/>
      <c r="V23" s="18">
        <f t="shared" si="6"/>
        <v>3538.03</v>
      </c>
      <c r="W23" s="18">
        <f t="shared" si="7"/>
        <v>6310.9800000000005</v>
      </c>
      <c r="X23" s="18">
        <f t="shared" si="8"/>
        <v>76.418999999999997</v>
      </c>
      <c r="Y23" s="7"/>
      <c r="Z23" s="18">
        <f t="shared" si="9"/>
        <v>3538.03</v>
      </c>
      <c r="AA23" s="18">
        <f t="shared" si="10"/>
        <v>6310.9800000000005</v>
      </c>
      <c r="AB23" s="18">
        <f t="shared" si="11"/>
        <v>76.418999999999997</v>
      </c>
    </row>
    <row r="24" spans="1:28" x14ac:dyDescent="0.35">
      <c r="A24" s="17">
        <v>2021</v>
      </c>
      <c r="B24" s="18">
        <f t="shared" si="0"/>
        <v>12403</v>
      </c>
      <c r="C24" s="18">
        <f t="shared" si="1"/>
        <v>26483</v>
      </c>
      <c r="D24" s="18">
        <f t="shared" si="2"/>
        <v>25774</v>
      </c>
      <c r="F24" s="44">
        <v>0.3</v>
      </c>
      <c r="G24" s="44">
        <v>0.26</v>
      </c>
      <c r="H24" s="44">
        <v>3.0000000000000001E-3</v>
      </c>
      <c r="I24" s="7"/>
      <c r="J24" s="44">
        <v>0.3</v>
      </c>
      <c r="K24" s="44">
        <v>0.26</v>
      </c>
      <c r="L24" s="44">
        <v>3.0000000000000001E-3</v>
      </c>
      <c r="M24" s="7"/>
      <c r="N24" s="44">
        <v>0.3</v>
      </c>
      <c r="O24" s="44">
        <v>0.26</v>
      </c>
      <c r="P24" s="44">
        <v>3.0000000000000001E-3</v>
      </c>
      <c r="Q24" s="7"/>
      <c r="R24" s="18">
        <f t="shared" si="3"/>
        <v>3720.8999999999996</v>
      </c>
      <c r="S24" s="18">
        <f t="shared" si="4"/>
        <v>6885.58</v>
      </c>
      <c r="T24" s="18">
        <f t="shared" si="5"/>
        <v>77.322000000000003</v>
      </c>
      <c r="U24" s="7"/>
      <c r="V24" s="18">
        <f t="shared" si="6"/>
        <v>3720.8999999999996</v>
      </c>
      <c r="W24" s="18">
        <f t="shared" si="7"/>
        <v>6885.58</v>
      </c>
      <c r="X24" s="18">
        <f t="shared" si="8"/>
        <v>77.322000000000003</v>
      </c>
      <c r="Y24" s="7"/>
      <c r="Z24" s="18">
        <f t="shared" si="9"/>
        <v>3720.8999999999996</v>
      </c>
      <c r="AA24" s="18">
        <f t="shared" si="10"/>
        <v>6885.58</v>
      </c>
      <c r="AB24" s="18">
        <f t="shared" si="11"/>
        <v>77.322000000000003</v>
      </c>
    </row>
    <row r="25" spans="1:28" x14ac:dyDescent="0.35">
      <c r="A25" s="17">
        <v>2022</v>
      </c>
      <c r="B25" s="18">
        <f t="shared" si="0"/>
        <v>10708</v>
      </c>
      <c r="C25" s="18">
        <f t="shared" si="1"/>
        <v>25259</v>
      </c>
      <c r="D25" s="18">
        <f t="shared" si="2"/>
        <v>25757</v>
      </c>
      <c r="F25" s="44">
        <v>0.32</v>
      </c>
      <c r="G25" s="44">
        <v>0.27</v>
      </c>
      <c r="H25" s="44">
        <v>4.0000000000000001E-3</v>
      </c>
      <c r="I25" s="7"/>
      <c r="J25" s="44">
        <v>0.32</v>
      </c>
      <c r="K25" s="44">
        <v>0.27</v>
      </c>
      <c r="L25" s="44">
        <v>4.0000000000000001E-3</v>
      </c>
      <c r="M25" s="7"/>
      <c r="N25" s="44">
        <v>0.32</v>
      </c>
      <c r="O25" s="44">
        <v>0.27</v>
      </c>
      <c r="P25" s="44">
        <v>4.0000000000000001E-3</v>
      </c>
      <c r="Q25" s="7"/>
      <c r="R25" s="18">
        <f t="shared" si="3"/>
        <v>3426.56</v>
      </c>
      <c r="S25" s="18">
        <f t="shared" si="4"/>
        <v>6819.93</v>
      </c>
      <c r="T25" s="18">
        <f t="shared" si="5"/>
        <v>103.02800000000001</v>
      </c>
      <c r="U25" s="7"/>
      <c r="V25" s="18">
        <f t="shared" si="6"/>
        <v>3426.56</v>
      </c>
      <c r="W25" s="18">
        <f t="shared" si="7"/>
        <v>6819.93</v>
      </c>
      <c r="X25" s="18">
        <f t="shared" si="8"/>
        <v>103.02800000000001</v>
      </c>
      <c r="Y25" s="7"/>
      <c r="Z25" s="18">
        <f t="shared" si="9"/>
        <v>3426.56</v>
      </c>
      <c r="AA25" s="18">
        <f t="shared" si="10"/>
        <v>6819.93</v>
      </c>
      <c r="AB25" s="18">
        <f t="shared" si="11"/>
        <v>103.02800000000001</v>
      </c>
    </row>
    <row r="26" spans="1:28" x14ac:dyDescent="0.35">
      <c r="A26" s="17">
        <v>2023</v>
      </c>
      <c r="B26" s="18">
        <f t="shared" si="0"/>
        <v>10160</v>
      </c>
      <c r="C26" s="18">
        <f t="shared" si="1"/>
        <v>24837</v>
      </c>
      <c r="D26" s="18">
        <f t="shared" si="2"/>
        <v>26327</v>
      </c>
      <c r="F26" s="44">
        <v>0.32</v>
      </c>
      <c r="G26" s="44">
        <v>0.26</v>
      </c>
      <c r="H26" s="44">
        <v>4.0000000000000001E-3</v>
      </c>
      <c r="I26" s="7"/>
      <c r="J26" s="44">
        <v>0.32</v>
      </c>
      <c r="K26" s="44">
        <v>0.26</v>
      </c>
      <c r="L26" s="44">
        <v>4.0000000000000001E-3</v>
      </c>
      <c r="M26" s="7"/>
      <c r="N26" s="44">
        <v>0.32</v>
      </c>
      <c r="O26" s="44">
        <v>0.26</v>
      </c>
      <c r="P26" s="44">
        <v>4.0000000000000001E-3</v>
      </c>
      <c r="Q26" s="7"/>
      <c r="R26" s="18">
        <f t="shared" si="3"/>
        <v>3251.2000000000003</v>
      </c>
      <c r="S26" s="18">
        <f t="shared" si="4"/>
        <v>6457.62</v>
      </c>
      <c r="T26" s="18">
        <f t="shared" si="5"/>
        <v>105.30800000000001</v>
      </c>
      <c r="U26" s="7"/>
      <c r="V26" s="18">
        <f t="shared" si="6"/>
        <v>3251.2000000000003</v>
      </c>
      <c r="W26" s="18">
        <f t="shared" si="7"/>
        <v>6457.62</v>
      </c>
      <c r="X26" s="18">
        <f t="shared" si="8"/>
        <v>105.30800000000001</v>
      </c>
      <c r="Y26" s="7"/>
      <c r="Z26" s="18">
        <f t="shared" si="9"/>
        <v>3251.2000000000003</v>
      </c>
      <c r="AA26" s="18">
        <f t="shared" si="10"/>
        <v>6457.62</v>
      </c>
      <c r="AB26" s="18">
        <f t="shared" si="11"/>
        <v>105.30800000000001</v>
      </c>
    </row>
    <row r="27" spans="1:28" x14ac:dyDescent="0.35">
      <c r="A27" s="17">
        <v>2024</v>
      </c>
      <c r="B27" s="18">
        <f t="shared" si="0"/>
        <v>10932</v>
      </c>
      <c r="C27" s="18">
        <f t="shared" si="1"/>
        <v>26278</v>
      </c>
      <c r="D27" s="18">
        <f t="shared" si="2"/>
        <v>25701</v>
      </c>
      <c r="F27" s="21">
        <f>'LIT Scenario projections '!D5</f>
        <v>0.31285714285714289</v>
      </c>
      <c r="G27" s="21">
        <f>'LIT Scenario projections '!C5</f>
        <v>0.28000000000000003</v>
      </c>
      <c r="H27" s="21">
        <f>'LIT Scenario projections '!E5</f>
        <v>4.2857142857142859E-3</v>
      </c>
      <c r="I27" s="7"/>
      <c r="J27" s="21">
        <f>'LIT Scenario projections '!K5</f>
        <v>0.311</v>
      </c>
      <c r="K27" s="21">
        <f>'LIT Scenario projections '!J5</f>
        <v>0.27764705882352941</v>
      </c>
      <c r="L27" s="21">
        <f>'LIT Scenario projections '!L5</f>
        <v>4.8999999999999998E-3</v>
      </c>
      <c r="M27" s="7"/>
      <c r="N27" s="21">
        <f>'LIT Scenario projections '!R5</f>
        <v>0.311</v>
      </c>
      <c r="O27" s="21">
        <f>'LIT Scenario projections '!Q5</f>
        <v>0.27764705882352941</v>
      </c>
      <c r="P27" s="21">
        <f>'LIT Scenario projections '!S5</f>
        <v>4.8999999999999998E-3</v>
      </c>
      <c r="Q27" s="7"/>
      <c r="R27" s="18">
        <f t="shared" si="3"/>
        <v>3420.1542857142863</v>
      </c>
      <c r="S27" s="18">
        <f t="shared" si="4"/>
        <v>7357.8400000000011</v>
      </c>
      <c r="T27" s="18">
        <f t="shared" si="5"/>
        <v>110.14714285714287</v>
      </c>
      <c r="U27" s="7"/>
      <c r="V27" s="18">
        <f t="shared" si="6"/>
        <v>3399.8519999999999</v>
      </c>
      <c r="W27" s="18">
        <f t="shared" si="7"/>
        <v>7296.0094117647059</v>
      </c>
      <c r="X27" s="18">
        <f t="shared" si="8"/>
        <v>125.9349</v>
      </c>
      <c r="Y27" s="7"/>
      <c r="Z27" s="18">
        <f t="shared" si="9"/>
        <v>3399.8519999999999</v>
      </c>
      <c r="AA27" s="18">
        <f t="shared" si="10"/>
        <v>7296.0094117647059</v>
      </c>
      <c r="AB27" s="18">
        <f t="shared" si="11"/>
        <v>125.9349</v>
      </c>
    </row>
    <row r="28" spans="1:28" x14ac:dyDescent="0.35">
      <c r="A28" s="17">
        <v>2025</v>
      </c>
      <c r="B28" s="18">
        <f t="shared" si="0"/>
        <v>10278.711403401629</v>
      </c>
      <c r="C28" s="18">
        <f t="shared" si="1"/>
        <v>25329.574767765178</v>
      </c>
      <c r="D28" s="18">
        <f t="shared" si="2"/>
        <v>26729.945024557052</v>
      </c>
      <c r="F28" s="21">
        <f>'LIT Scenario projections '!D6</f>
        <v>0.30571428571428577</v>
      </c>
      <c r="G28" s="21">
        <f>'LIT Scenario projections '!C6</f>
        <v>0.30000000000000004</v>
      </c>
      <c r="H28" s="21">
        <f>'LIT Scenario projections '!E6</f>
        <v>2.4285714285714285E-2</v>
      </c>
      <c r="I28" s="7"/>
      <c r="J28" s="21">
        <f>'LIT Scenario projections '!K6</f>
        <v>0.32156249999999997</v>
      </c>
      <c r="K28" s="21">
        <f>'LIT Scenario projections '!J6</f>
        <v>0.29529411764705882</v>
      </c>
      <c r="L28" s="21">
        <f>'LIT Scenario projections '!L6</f>
        <v>2.3343749999999996E-2</v>
      </c>
      <c r="M28" s="7"/>
      <c r="N28" s="21">
        <f>'LIT Scenario projections '!R6</f>
        <v>0.31826923076923075</v>
      </c>
      <c r="O28" s="21">
        <f>'LIT Scenario projections '!Q6</f>
        <v>0.28635076252723313</v>
      </c>
      <c r="P28" s="21">
        <f>'LIT Scenario projections '!S6</f>
        <v>1.9134615384615382E-2</v>
      </c>
      <c r="Q28" s="7"/>
      <c r="R28" s="18">
        <f t="shared" si="3"/>
        <v>3142.3489147542127</v>
      </c>
      <c r="S28" s="18">
        <f t="shared" si="4"/>
        <v>7598.8724303295548</v>
      </c>
      <c r="T28" s="18">
        <f t="shared" si="5"/>
        <v>649.15580773924262</v>
      </c>
      <c r="U28" s="7"/>
      <c r="V28" s="18">
        <f t="shared" si="6"/>
        <v>3305.2481356563358</v>
      </c>
      <c r="W28" s="18">
        <f t="shared" si="7"/>
        <v>7479.6744314224234</v>
      </c>
      <c r="X28" s="18">
        <f t="shared" si="8"/>
        <v>623.97715416700362</v>
      </c>
      <c r="Y28" s="7"/>
      <c r="Z28" s="18">
        <f t="shared" si="9"/>
        <v>3271.3975716595564</v>
      </c>
      <c r="AA28" s="18">
        <f t="shared" si="10"/>
        <v>7253.1430492401223</v>
      </c>
      <c r="AB28" s="18">
        <f t="shared" si="11"/>
        <v>511.46721729681275</v>
      </c>
    </row>
    <row r="29" spans="1:28" x14ac:dyDescent="0.35">
      <c r="A29" s="17">
        <v>2026</v>
      </c>
      <c r="B29" s="18">
        <f t="shared" si="0"/>
        <v>10265.266808036597</v>
      </c>
      <c r="C29" s="18">
        <f t="shared" si="1"/>
        <v>25398.108065059936</v>
      </c>
      <c r="D29" s="18">
        <f t="shared" si="2"/>
        <v>26742.715156991017</v>
      </c>
      <c r="F29" s="21">
        <f>'LIT Scenario projections '!D7</f>
        <v>0.29857142857142865</v>
      </c>
      <c r="G29" s="21">
        <f>'LIT Scenario projections '!C7</f>
        <v>0.32000000000000006</v>
      </c>
      <c r="H29" s="21">
        <f>'LIT Scenario projections '!E7</f>
        <v>4.4285714285714289E-2</v>
      </c>
      <c r="I29" s="7"/>
      <c r="J29" s="21">
        <f>'LIT Scenario projections '!K7</f>
        <v>0.33212499999999995</v>
      </c>
      <c r="K29" s="21">
        <f>'LIT Scenario projections '!J7</f>
        <v>0.31294117647058822</v>
      </c>
      <c r="L29" s="21">
        <f>'LIT Scenario projections '!L7</f>
        <v>4.1787499999999991E-2</v>
      </c>
      <c r="M29" s="7"/>
      <c r="N29" s="21">
        <f>'LIT Scenario projections '!R7</f>
        <v>0.3255384615384615</v>
      </c>
      <c r="O29" s="21">
        <f>'LIT Scenario projections '!Q7</f>
        <v>0.29505446623093684</v>
      </c>
      <c r="P29" s="21">
        <f>'LIT Scenario projections '!S7</f>
        <v>3.3369230769230762E-2</v>
      </c>
      <c r="Q29" s="7"/>
      <c r="R29" s="18">
        <f t="shared" si="3"/>
        <v>3064.9153755423563</v>
      </c>
      <c r="S29" s="18">
        <f t="shared" si="4"/>
        <v>8127.3945808191811</v>
      </c>
      <c r="T29" s="18">
        <f t="shared" si="5"/>
        <v>1184.3202426667451</v>
      </c>
      <c r="U29" s="7"/>
      <c r="V29" s="18">
        <f t="shared" si="6"/>
        <v>3409.3517386191543</v>
      </c>
      <c r="W29" s="18">
        <f t="shared" si="7"/>
        <v>7948.1138180069911</v>
      </c>
      <c r="X29" s="18">
        <f t="shared" si="8"/>
        <v>1117.511209622762</v>
      </c>
      <c r="Y29" s="7"/>
      <c r="Z29" s="18">
        <f t="shared" si="9"/>
        <v>3341.7391639700672</v>
      </c>
      <c r="AA29" s="18">
        <f t="shared" si="10"/>
        <v>7493.8252184119119</v>
      </c>
      <c r="AB29" s="18">
        <f t="shared" si="11"/>
        <v>892.38383346943851</v>
      </c>
    </row>
    <row r="30" spans="1:28" x14ac:dyDescent="0.35">
      <c r="A30" s="17">
        <v>2027</v>
      </c>
      <c r="B30" s="18">
        <f t="shared" si="0"/>
        <v>10236.400575512576</v>
      </c>
      <c r="C30" s="18">
        <f t="shared" si="1"/>
        <v>25428.473868446621</v>
      </c>
      <c r="D30" s="18">
        <f t="shared" si="2"/>
        <v>26715.197745528039</v>
      </c>
      <c r="F30" s="21">
        <f>'LIT Scenario projections '!D8</f>
        <v>0.29142857142857154</v>
      </c>
      <c r="G30" s="21">
        <f>'LIT Scenario projections '!C8</f>
        <v>0.34000000000000008</v>
      </c>
      <c r="H30" s="21">
        <f>'LIT Scenario projections '!E8</f>
        <v>6.4285714285714293E-2</v>
      </c>
      <c r="I30" s="7"/>
      <c r="J30" s="21">
        <f>'LIT Scenario projections '!K8</f>
        <v>0.34268749999999992</v>
      </c>
      <c r="K30" s="21">
        <f>'LIT Scenario projections '!J8</f>
        <v>0.33058823529411763</v>
      </c>
      <c r="L30" s="21">
        <f>'LIT Scenario projections '!L8</f>
        <v>6.0231249999999986E-2</v>
      </c>
      <c r="M30" s="7"/>
      <c r="N30" s="21">
        <f>'LIT Scenario projections '!R8</f>
        <v>0.33280769230769225</v>
      </c>
      <c r="O30" s="21">
        <f>'LIT Scenario projections '!Q8</f>
        <v>0.30375816993464055</v>
      </c>
      <c r="P30" s="21">
        <f>'LIT Scenario projections '!S8</f>
        <v>4.7603846153846149E-2</v>
      </c>
      <c r="Q30" s="7"/>
      <c r="R30" s="18">
        <f t="shared" si="3"/>
        <v>2983.1795962922374</v>
      </c>
      <c r="S30" s="18">
        <f t="shared" si="4"/>
        <v>8645.6811152718528</v>
      </c>
      <c r="T30" s="18">
        <f t="shared" si="5"/>
        <v>1717.4055693553742</v>
      </c>
      <c r="U30" s="7"/>
      <c r="V30" s="18">
        <f t="shared" si="6"/>
        <v>3507.8865222209652</v>
      </c>
      <c r="W30" s="18">
        <f t="shared" si="7"/>
        <v>8406.3543023923539</v>
      </c>
      <c r="X30" s="18">
        <f t="shared" si="8"/>
        <v>1609.0897542103353</v>
      </c>
      <c r="Y30" s="7"/>
      <c r="Z30" s="18">
        <f t="shared" si="9"/>
        <v>3406.7528530734735</v>
      </c>
      <c r="AA30" s="18">
        <f t="shared" si="10"/>
        <v>7724.1066865101757</v>
      </c>
      <c r="AB30" s="18">
        <f t="shared" si="11"/>
        <v>1271.7461634476942</v>
      </c>
    </row>
    <row r="31" spans="1:28" x14ac:dyDescent="0.35">
      <c r="A31" s="17">
        <v>2028</v>
      </c>
      <c r="B31" s="18">
        <f t="shared" si="0"/>
        <v>10210.702588021681</v>
      </c>
      <c r="C31" s="18">
        <f t="shared" si="1"/>
        <v>25466.575462882167</v>
      </c>
      <c r="D31" s="18">
        <f t="shared" si="2"/>
        <v>26695.779768357374</v>
      </c>
      <c r="F31" s="21">
        <f>'LIT Scenario projections '!D9</f>
        <v>0.28428571428571442</v>
      </c>
      <c r="G31" s="21">
        <f>'LIT Scenario projections '!C9</f>
        <v>0.3600000000000001</v>
      </c>
      <c r="H31" s="21">
        <f>'LIT Scenario projections '!E9</f>
        <v>8.4285714285714297E-2</v>
      </c>
      <c r="I31" s="7"/>
      <c r="J31" s="21">
        <f>'LIT Scenario projections '!K9</f>
        <v>0.3532499999999999</v>
      </c>
      <c r="K31" s="21">
        <f>'LIT Scenario projections '!J9</f>
        <v>0.34823529411764703</v>
      </c>
      <c r="L31" s="21">
        <f>'LIT Scenario projections '!L9</f>
        <v>7.8674999999999981E-2</v>
      </c>
      <c r="M31" s="7"/>
      <c r="N31" s="21">
        <f>'LIT Scenario projections '!R9</f>
        <v>0.340076923076923</v>
      </c>
      <c r="O31" s="21">
        <f>'LIT Scenario projections '!Q9</f>
        <v>0.31246187363834427</v>
      </c>
      <c r="P31" s="21">
        <f>'LIT Scenario projections '!S9</f>
        <v>6.1838461538461537E-2</v>
      </c>
      <c r="Q31" s="7"/>
      <c r="R31" s="18">
        <f t="shared" si="3"/>
        <v>2902.7568785947365</v>
      </c>
      <c r="S31" s="18">
        <f t="shared" si="4"/>
        <v>9167.9671666375834</v>
      </c>
      <c r="T31" s="18">
        <f t="shared" si="5"/>
        <v>2250.0728661901217</v>
      </c>
      <c r="U31" s="7"/>
      <c r="V31" s="18">
        <f t="shared" si="6"/>
        <v>3606.9306892186578</v>
      </c>
      <c r="W31" s="18">
        <f t="shared" si="7"/>
        <v>8868.3603964860249</v>
      </c>
      <c r="X31" s="18">
        <f t="shared" si="8"/>
        <v>2100.290473275516</v>
      </c>
      <c r="Y31" s="7"/>
      <c r="Z31" s="18">
        <f t="shared" si="9"/>
        <v>3472.4243185879877</v>
      </c>
      <c r="AA31" s="18">
        <f t="shared" si="10"/>
        <v>7957.333884284446</v>
      </c>
      <c r="AB31" s="18">
        <f t="shared" si="11"/>
        <v>1650.8259504448072</v>
      </c>
    </row>
    <row r="32" spans="1:28" x14ac:dyDescent="0.35">
      <c r="A32" s="17">
        <v>2029</v>
      </c>
      <c r="B32" s="18">
        <f t="shared" si="0"/>
        <v>10181.633673155475</v>
      </c>
      <c r="C32" s="18">
        <f t="shared" si="1"/>
        <v>25496.131358414579</v>
      </c>
      <c r="D32" s="18">
        <f t="shared" si="2"/>
        <v>26667.377918749131</v>
      </c>
      <c r="F32" s="21">
        <f>'LIT Scenario projections '!D10</f>
        <v>0.2771428571428573</v>
      </c>
      <c r="G32" s="21">
        <f>'LIT Scenario projections '!C10</f>
        <v>0.38000000000000012</v>
      </c>
      <c r="H32" s="21">
        <f>'LIT Scenario projections '!E10</f>
        <v>0.1042857142857143</v>
      </c>
      <c r="I32" s="7"/>
      <c r="J32" s="21">
        <f>'LIT Scenario projections '!K10</f>
        <v>0.36381249999999987</v>
      </c>
      <c r="K32" s="21">
        <f>'LIT Scenario projections '!J10</f>
        <v>0.36588235294117644</v>
      </c>
      <c r="L32" s="21">
        <f>'LIT Scenario projections '!L10</f>
        <v>9.7118749999999976E-2</v>
      </c>
      <c r="M32" s="7"/>
      <c r="N32" s="21">
        <f>'LIT Scenario projections '!R10</f>
        <v>0.34734615384615375</v>
      </c>
      <c r="O32" s="21">
        <f>'LIT Scenario projections '!Q10</f>
        <v>0.32116557734204798</v>
      </c>
      <c r="P32" s="21">
        <f>'LIT Scenario projections '!S10</f>
        <v>7.6073076923076924E-2</v>
      </c>
      <c r="Q32" s="7"/>
      <c r="R32" s="18">
        <f t="shared" si="3"/>
        <v>2821.7670465602332</v>
      </c>
      <c r="S32" s="18">
        <f t="shared" si="4"/>
        <v>9688.5299161975436</v>
      </c>
      <c r="T32" s="18">
        <f t="shared" si="5"/>
        <v>2781.0265543838382</v>
      </c>
      <c r="U32" s="7"/>
      <c r="V32" s="18">
        <f t="shared" si="6"/>
        <v>3704.2056007148749</v>
      </c>
      <c r="W32" s="18">
        <f t="shared" si="7"/>
        <v>9328.5845323140384</v>
      </c>
      <c r="X32" s="18">
        <f t="shared" si="8"/>
        <v>2589.9024092465165</v>
      </c>
      <c r="Y32" s="7"/>
      <c r="Z32" s="18">
        <f t="shared" si="9"/>
        <v>3536.5512962410412</v>
      </c>
      <c r="AA32" s="18">
        <f t="shared" si="10"/>
        <v>8188.4797477139127</v>
      </c>
      <c r="AB32" s="18">
        <f t="shared" si="11"/>
        <v>2028.6694917497657</v>
      </c>
    </row>
    <row r="33" spans="1:28" x14ac:dyDescent="0.35">
      <c r="A33" s="17">
        <v>2030</v>
      </c>
      <c r="B33" s="18">
        <f t="shared" si="0"/>
        <v>10149.112046810969</v>
      </c>
      <c r="C33" s="18">
        <f t="shared" si="1"/>
        <v>25516.832704841025</v>
      </c>
      <c r="D33" s="18">
        <f t="shared" si="2"/>
        <v>26629.729754719196</v>
      </c>
      <c r="F33" s="21">
        <f>'LIT Scenario projections '!D11</f>
        <v>0.27</v>
      </c>
      <c r="G33" s="21">
        <f>'LIT Scenario projections '!C11</f>
        <v>0.4</v>
      </c>
      <c r="H33" s="21">
        <f>'LIT Scenario projections '!E11</f>
        <v>0</v>
      </c>
      <c r="I33" s="7"/>
      <c r="J33" s="21">
        <f>'LIT Scenario projections '!K11</f>
        <v>0.37437499999999985</v>
      </c>
      <c r="K33" s="21">
        <f>'LIT Scenario projections '!J11</f>
        <v>0.38352941176470584</v>
      </c>
      <c r="L33" s="21">
        <f>'LIT Scenario projections '!L11</f>
        <v>0.11556249999999997</v>
      </c>
      <c r="M33" s="7"/>
      <c r="N33" s="21">
        <f>'LIT Scenario projections '!R11</f>
        <v>0.3546153846153845</v>
      </c>
      <c r="O33" s="21">
        <f>'LIT Scenario projections '!Q11</f>
        <v>0.32986928104575169</v>
      </c>
      <c r="P33" s="21">
        <f>'LIT Scenario projections '!S11</f>
        <v>9.0307692307692311E-2</v>
      </c>
      <c r="Q33" s="7"/>
      <c r="R33" s="18">
        <f t="shared" si="3"/>
        <v>2740.2602526389619</v>
      </c>
      <c r="S33" s="18">
        <f t="shared" si="4"/>
        <v>10206.733081936411</v>
      </c>
      <c r="T33" s="18">
        <f t="shared" si="5"/>
        <v>0</v>
      </c>
      <c r="U33" s="7"/>
      <c r="V33" s="18">
        <f t="shared" si="6"/>
        <v>3799.5738225248551</v>
      </c>
      <c r="W33" s="18">
        <f t="shared" si="7"/>
        <v>9786.4558373860855</v>
      </c>
      <c r="X33" s="18">
        <f t="shared" si="8"/>
        <v>3077.3981447797364</v>
      </c>
      <c r="Y33" s="7"/>
      <c r="Z33" s="18">
        <f t="shared" si="9"/>
        <v>3599.0312719845042</v>
      </c>
      <c r="AA33" s="18">
        <f t="shared" si="10"/>
        <v>8417.2192589106326</v>
      </c>
      <c r="AB33" s="18">
        <f t="shared" si="11"/>
        <v>2404.8694409261798</v>
      </c>
    </row>
    <row r="34" spans="1:28" x14ac:dyDescent="0.35">
      <c r="A34" s="17">
        <v>2031</v>
      </c>
      <c r="B34" s="18">
        <f t="shared" si="0"/>
        <v>10113.031034071228</v>
      </c>
      <c r="C34" s="18">
        <f t="shared" si="1"/>
        <v>25528.303686573028</v>
      </c>
      <c r="D34" s="18">
        <f t="shared" si="2"/>
        <v>26582.505702332586</v>
      </c>
      <c r="F34" s="21">
        <f>'LIT Scenario projections '!D12</f>
        <v>0.25650000000000001</v>
      </c>
      <c r="G34" s="21">
        <f>'LIT Scenario projections '!C12</f>
        <v>0.40500000000000003</v>
      </c>
      <c r="H34" s="21">
        <f>'LIT Scenario projections '!E12</f>
        <v>0</v>
      </c>
      <c r="I34" s="7"/>
      <c r="J34" s="21">
        <f>'LIT Scenario projections '!K12</f>
        <v>0.38493749999999982</v>
      </c>
      <c r="K34" s="21">
        <f>'LIT Scenario projections '!J12</f>
        <v>0.40117647058823525</v>
      </c>
      <c r="L34" s="21">
        <f>'LIT Scenario projections '!L12</f>
        <v>0.13400624999999997</v>
      </c>
      <c r="M34" s="7"/>
      <c r="N34" s="21">
        <f>'LIT Scenario projections '!R12</f>
        <v>0.36188461538461525</v>
      </c>
      <c r="O34" s="21">
        <f>'LIT Scenario projections '!Q12</f>
        <v>0.33857298474945541</v>
      </c>
      <c r="P34" s="21">
        <f>'LIT Scenario projections '!S12</f>
        <v>0.1045423076923077</v>
      </c>
      <c r="Q34" s="7"/>
      <c r="R34" s="18">
        <f t="shared" si="3"/>
        <v>2593.9924602392698</v>
      </c>
      <c r="S34" s="18">
        <f t="shared" si="4"/>
        <v>10338.962993062078</v>
      </c>
      <c r="T34" s="18">
        <f t="shared" si="5"/>
        <v>0</v>
      </c>
      <c r="U34" s="7"/>
      <c r="V34" s="18">
        <f t="shared" si="6"/>
        <v>3892.8848836777915</v>
      </c>
      <c r="W34" s="18">
        <f t="shared" si="7"/>
        <v>10241.354773084002</v>
      </c>
      <c r="X34" s="18">
        <f t="shared" si="8"/>
        <v>3562.2219047732051</v>
      </c>
      <c r="Y34" s="7"/>
      <c r="Z34" s="18">
        <f t="shared" si="9"/>
        <v>3659.7503461375441</v>
      </c>
      <c r="AA34" s="18">
        <f t="shared" si="10"/>
        <v>8643.1939747535562</v>
      </c>
      <c r="AB34" s="18">
        <f t="shared" si="11"/>
        <v>2778.9964903657774</v>
      </c>
    </row>
    <row r="35" spans="1:28" x14ac:dyDescent="0.35">
      <c r="A35" s="17">
        <v>2032</v>
      </c>
      <c r="B35" s="18">
        <f t="shared" ref="B35:B66" si="12">B90</f>
        <v>10077.568735849738</v>
      </c>
      <c r="C35" s="18">
        <f t="shared" ref="C35:C66" si="13">B143</f>
        <v>25541.022825460735</v>
      </c>
      <c r="D35" s="18">
        <f t="shared" ref="D35:D66" si="14">B196</f>
        <v>26536.656849881299</v>
      </c>
      <c r="F35" s="21">
        <f>'LIT Scenario projections '!D13</f>
        <v>0.24299999999999999</v>
      </c>
      <c r="G35" s="21">
        <f>'LIT Scenario projections '!C13</f>
        <v>0.41000000000000003</v>
      </c>
      <c r="H35" s="21">
        <f>'LIT Scenario projections '!E13</f>
        <v>0</v>
      </c>
      <c r="I35" s="7"/>
      <c r="J35" s="21">
        <f>'LIT Scenario projections '!K13</f>
        <v>0.3954999999999998</v>
      </c>
      <c r="K35" s="21">
        <f>'LIT Scenario projections '!J13</f>
        <v>0.41882352941176465</v>
      </c>
      <c r="L35" s="21">
        <f>'LIT Scenario projections '!L13</f>
        <v>0.15244999999999997</v>
      </c>
      <c r="M35" s="7"/>
      <c r="N35" s="21">
        <f>'LIT Scenario projections '!R13</f>
        <v>0.369153846153846</v>
      </c>
      <c r="O35" s="21">
        <f>'LIT Scenario projections '!Q13</f>
        <v>0.34727668845315912</v>
      </c>
      <c r="P35" s="21">
        <f>'LIT Scenario projections '!S13</f>
        <v>0.11877692307692309</v>
      </c>
      <c r="Q35" s="7"/>
      <c r="R35" s="18">
        <f t="shared" ref="R35:R53" si="15">F35*B35</f>
        <v>2448.8492028114861</v>
      </c>
      <c r="S35" s="18">
        <f t="shared" ref="S35:S53" si="16">G35*C35</f>
        <v>10471.819358438903</v>
      </c>
      <c r="T35" s="18">
        <f t="shared" ref="T35:T53" si="17">H35*D35</f>
        <v>0</v>
      </c>
      <c r="U35" s="7"/>
      <c r="V35" s="18">
        <f t="shared" ref="V35:V53" si="18">J35*B35</f>
        <v>3985.6784350285693</v>
      </c>
      <c r="W35" s="18">
        <f t="shared" ref="W35:W53" si="19">K35*C35</f>
        <v>10697.181324545907</v>
      </c>
      <c r="X35" s="18">
        <f t="shared" ref="X35:X53" si="20">L35*D35</f>
        <v>4045.5133367644034</v>
      </c>
      <c r="Y35" s="7"/>
      <c r="Z35" s="18">
        <f t="shared" ref="Z35:Z53" si="21">N35*B35</f>
        <v>3720.1732587186825</v>
      </c>
      <c r="AA35" s="18">
        <f t="shared" ref="AA35:AA53" si="22">O35*C35</f>
        <v>8869.8018265325536</v>
      </c>
      <c r="AB35" s="18">
        <f t="shared" ref="AB35:AB53" si="23">P35*D35</f>
        <v>3151.9424493770553</v>
      </c>
    </row>
    <row r="36" spans="1:28" x14ac:dyDescent="0.35">
      <c r="A36" s="17">
        <v>2033</v>
      </c>
      <c r="B36" s="18">
        <f t="shared" si="12"/>
        <v>10042.757154621582</v>
      </c>
      <c r="C36" s="18">
        <f t="shared" si="13"/>
        <v>25555.087705201382</v>
      </c>
      <c r="D36" s="18">
        <f t="shared" si="14"/>
        <v>26492.275600389727</v>
      </c>
      <c r="F36" s="21">
        <f>'LIT Scenario projections '!D14</f>
        <v>0.22949999999999998</v>
      </c>
      <c r="G36" s="21">
        <f>'LIT Scenario projections '!C14</f>
        <v>0.41500000000000004</v>
      </c>
      <c r="H36" s="21">
        <f>'LIT Scenario projections '!E14</f>
        <v>0</v>
      </c>
      <c r="I36" s="7"/>
      <c r="J36" s="21">
        <f>'LIT Scenario projections '!K14</f>
        <v>0.40606249999999977</v>
      </c>
      <c r="K36" s="21">
        <f>'LIT Scenario projections '!J14</f>
        <v>0.43647058823529405</v>
      </c>
      <c r="L36" s="21">
        <f>'LIT Scenario projections '!L14</f>
        <v>0.17089374999999998</v>
      </c>
      <c r="M36" s="7"/>
      <c r="N36" s="21">
        <f>'LIT Scenario projections '!R14</f>
        <v>0.37642307692307675</v>
      </c>
      <c r="O36" s="21">
        <f>'LIT Scenario projections '!Q14</f>
        <v>0.35598039215686283</v>
      </c>
      <c r="P36" s="21">
        <f>'LIT Scenario projections '!S14</f>
        <v>0.13301153846153846</v>
      </c>
      <c r="Q36" s="7"/>
      <c r="R36" s="18">
        <f t="shared" si="15"/>
        <v>2304.8127669856531</v>
      </c>
      <c r="S36" s="18">
        <f t="shared" si="16"/>
        <v>10605.361397658575</v>
      </c>
      <c r="T36" s="18">
        <f t="shared" si="17"/>
        <v>0</v>
      </c>
      <c r="U36" s="7"/>
      <c r="V36" s="18">
        <f t="shared" si="18"/>
        <v>4077.987077098524</v>
      </c>
      <c r="W36" s="18">
        <f t="shared" si="19"/>
        <v>11154.044163093778</v>
      </c>
      <c r="X36" s="18">
        <f t="shared" si="20"/>
        <v>4527.3643233841012</v>
      </c>
      <c r="Y36" s="7"/>
      <c r="Z36" s="18">
        <f t="shared" si="21"/>
        <v>3780.3255489338994</v>
      </c>
      <c r="AA36" s="18">
        <f t="shared" si="22"/>
        <v>9097.1101429006121</v>
      </c>
      <c r="AB36" s="18">
        <f t="shared" si="23"/>
        <v>3523.778334954915</v>
      </c>
    </row>
    <row r="37" spans="1:28" x14ac:dyDescent="0.35">
      <c r="A37" s="17">
        <v>2034</v>
      </c>
      <c r="B37" s="18">
        <f t="shared" si="12"/>
        <v>10008.745635270479</v>
      </c>
      <c r="C37" s="18">
        <f t="shared" si="13"/>
        <v>25570.897146458447</v>
      </c>
      <c r="D37" s="18">
        <f t="shared" si="14"/>
        <v>26449.765086763269</v>
      </c>
      <c r="F37" s="21">
        <f>'LIT Scenario projections '!D15</f>
        <v>0.21599999999999997</v>
      </c>
      <c r="G37" s="21">
        <f>'LIT Scenario projections '!C15</f>
        <v>0.42000000000000004</v>
      </c>
      <c r="H37" s="21">
        <f>'LIT Scenario projections '!E15</f>
        <v>0</v>
      </c>
      <c r="I37" s="7"/>
      <c r="J37" s="21">
        <f>'LIT Scenario projections '!K15</f>
        <v>0.41662499999999975</v>
      </c>
      <c r="K37" s="21">
        <f>'LIT Scenario projections '!J15</f>
        <v>0.45411764705882346</v>
      </c>
      <c r="L37" s="21">
        <f>'LIT Scenario projections '!L15</f>
        <v>0.18933749999999999</v>
      </c>
      <c r="M37" s="7"/>
      <c r="N37" s="21">
        <f>'LIT Scenario projections '!R15</f>
        <v>0.3836923076923075</v>
      </c>
      <c r="O37" s="21">
        <f>'LIT Scenario projections '!Q15</f>
        <v>0.36468409586056655</v>
      </c>
      <c r="P37" s="21">
        <f>'LIT Scenario projections '!S15</f>
        <v>0.14724615384615383</v>
      </c>
      <c r="Q37" s="7"/>
      <c r="R37" s="18">
        <f t="shared" si="15"/>
        <v>2161.8890572184232</v>
      </c>
      <c r="S37" s="18">
        <f t="shared" si="16"/>
        <v>10739.776801512549</v>
      </c>
      <c r="T37" s="18">
        <f t="shared" si="17"/>
        <v>0</v>
      </c>
      <c r="U37" s="7"/>
      <c r="V37" s="18">
        <f t="shared" si="18"/>
        <v>4169.8936502945608</v>
      </c>
      <c r="W37" s="18">
        <f t="shared" si="19"/>
        <v>11612.195645332893</v>
      </c>
      <c r="X37" s="18">
        <f t="shared" si="20"/>
        <v>5007.9323971150407</v>
      </c>
      <c r="Y37" s="7"/>
      <c r="Z37" s="18">
        <f t="shared" si="21"/>
        <v>3840.2787099022403</v>
      </c>
      <c r="AA37" s="18">
        <f t="shared" si="22"/>
        <v>9325.299506199739</v>
      </c>
      <c r="AB37" s="18">
        <f t="shared" si="23"/>
        <v>3894.6261791601728</v>
      </c>
    </row>
    <row r="38" spans="1:28" x14ac:dyDescent="0.35">
      <c r="A38" s="17">
        <v>2035</v>
      </c>
      <c r="B38" s="18">
        <f t="shared" si="12"/>
        <v>9975.6124060688526</v>
      </c>
      <c r="C38" s="18">
        <f t="shared" si="13"/>
        <v>25588.673824578826</v>
      </c>
      <c r="D38" s="18">
        <f t="shared" si="14"/>
        <v>26409.343022331595</v>
      </c>
      <c r="F38" s="21">
        <f>'LIT Scenario projections '!D16</f>
        <v>0.20249999999999996</v>
      </c>
      <c r="G38" s="21">
        <f>'LIT Scenario projections '!C16</f>
        <v>0.42500000000000004</v>
      </c>
      <c r="H38" s="21">
        <f>'LIT Scenario projections '!E16</f>
        <v>0</v>
      </c>
      <c r="I38" s="7"/>
      <c r="J38" s="21">
        <f>'LIT Scenario projections '!K16</f>
        <v>0.42718749999999972</v>
      </c>
      <c r="K38" s="21">
        <f>'LIT Scenario projections '!J16</f>
        <v>0.47176470588235286</v>
      </c>
      <c r="L38" s="21">
        <f>'LIT Scenario projections '!L16</f>
        <v>0.20778125</v>
      </c>
      <c r="M38" s="7"/>
      <c r="N38" s="21">
        <f>'LIT Scenario projections '!R16</f>
        <v>0.39096153846153825</v>
      </c>
      <c r="O38" s="21">
        <f>'LIT Scenario projections '!Q16</f>
        <v>0.37338779956427026</v>
      </c>
      <c r="P38" s="21">
        <f>'LIT Scenario projections '!S16</f>
        <v>0.16148076923076921</v>
      </c>
      <c r="Q38" s="7"/>
      <c r="R38" s="18">
        <f t="shared" si="15"/>
        <v>2020.0615122289423</v>
      </c>
      <c r="S38" s="18">
        <f t="shared" si="16"/>
        <v>10875.186375446003</v>
      </c>
      <c r="T38" s="18">
        <f t="shared" si="17"/>
        <v>0</v>
      </c>
      <c r="U38" s="7"/>
      <c r="V38" s="18">
        <f t="shared" si="18"/>
        <v>4261.456924717535</v>
      </c>
      <c r="W38" s="18">
        <f t="shared" si="19"/>
        <v>12071.833180771891</v>
      </c>
      <c r="X38" s="18">
        <f t="shared" si="20"/>
        <v>5487.3663048588369</v>
      </c>
      <c r="Y38" s="7"/>
      <c r="Z38" s="18">
        <f t="shared" si="21"/>
        <v>3900.0807733726856</v>
      </c>
      <c r="AA38" s="18">
        <f t="shared" si="22"/>
        <v>9554.4986131273272</v>
      </c>
      <c r="AB38" s="18">
        <f t="shared" si="23"/>
        <v>4264.6010261253532</v>
      </c>
    </row>
    <row r="39" spans="1:28" x14ac:dyDescent="0.35">
      <c r="A39" s="17">
        <v>2036</v>
      </c>
      <c r="B39" s="18">
        <f t="shared" si="12"/>
        <v>9943.4250277974243</v>
      </c>
      <c r="C39" s="18">
        <f t="shared" si="13"/>
        <v>25608.616349092146</v>
      </c>
      <c r="D39" s="18">
        <f t="shared" si="14"/>
        <v>26371.200348898878</v>
      </c>
      <c r="F39" s="21">
        <f>'LIT Scenario projections '!D17</f>
        <v>0.18899999999999995</v>
      </c>
      <c r="G39" s="21">
        <f>'LIT Scenario projections '!C17</f>
        <v>0.43000000000000005</v>
      </c>
      <c r="H39" s="21">
        <f>'LIT Scenario projections '!E17</f>
        <v>0</v>
      </c>
      <c r="I39" s="7"/>
      <c r="J39" s="21">
        <f>'LIT Scenario projections '!K17</f>
        <v>0.43774999999999969</v>
      </c>
      <c r="K39" s="21">
        <f>'LIT Scenario projections '!J17</f>
        <v>0.48941176470588227</v>
      </c>
      <c r="L39" s="21">
        <f>'LIT Scenario projections '!L17</f>
        <v>0.22622500000000001</v>
      </c>
      <c r="M39" s="7"/>
      <c r="N39" s="21">
        <f>'LIT Scenario projections '!R17</f>
        <v>0.398230769230769</v>
      </c>
      <c r="O39" s="21">
        <f>'LIT Scenario projections '!Q17</f>
        <v>0.38209150326797398</v>
      </c>
      <c r="P39" s="21">
        <f>'LIT Scenario projections '!S17</f>
        <v>0.17571538461538458</v>
      </c>
      <c r="Q39" s="7"/>
      <c r="R39" s="18">
        <f t="shared" si="15"/>
        <v>1879.3073302537127</v>
      </c>
      <c r="S39" s="18">
        <f t="shared" si="16"/>
        <v>11011.705030109624</v>
      </c>
      <c r="T39" s="18">
        <f t="shared" si="17"/>
        <v>0</v>
      </c>
      <c r="U39" s="7"/>
      <c r="V39" s="18">
        <f t="shared" si="18"/>
        <v>4352.7343059183195</v>
      </c>
      <c r="W39" s="18">
        <f t="shared" si="19"/>
        <v>12533.158119085096</v>
      </c>
      <c r="X39" s="18">
        <f t="shared" si="20"/>
        <v>5965.8247989296488</v>
      </c>
      <c r="Y39" s="7"/>
      <c r="Z39" s="18">
        <f t="shared" si="21"/>
        <v>3959.7777976082489</v>
      </c>
      <c r="AA39" s="18">
        <f t="shared" si="22"/>
        <v>9784.8347174374339</v>
      </c>
      <c r="AB39" s="18">
        <f t="shared" si="23"/>
        <v>4633.8256120761307</v>
      </c>
    </row>
    <row r="40" spans="1:28" x14ac:dyDescent="0.35">
      <c r="A40" s="17">
        <v>2037</v>
      </c>
      <c r="B40" s="18">
        <f t="shared" si="12"/>
        <v>9912.1408304894267</v>
      </c>
      <c r="C40" s="18">
        <f t="shared" si="13"/>
        <v>25630.641296357626</v>
      </c>
      <c r="D40" s="18">
        <f t="shared" si="14"/>
        <v>26335.236464248741</v>
      </c>
      <c r="F40" s="21">
        <f>'LIT Scenario projections '!D18</f>
        <v>0.17549999999999993</v>
      </c>
      <c r="G40" s="21">
        <f>'LIT Scenario projections '!C18</f>
        <v>0.43500000000000005</v>
      </c>
      <c r="H40" s="21">
        <f>'LIT Scenario projections '!E18</f>
        <v>0</v>
      </c>
      <c r="I40" s="7"/>
      <c r="J40" s="21">
        <f>'LIT Scenario projections '!K18</f>
        <v>0.44831249999999967</v>
      </c>
      <c r="K40" s="21">
        <f>'LIT Scenario projections '!J18</f>
        <v>0.50705882352941167</v>
      </c>
      <c r="L40" s="21">
        <f>'LIT Scenario projections '!L18</f>
        <v>0.24466875000000002</v>
      </c>
      <c r="M40" s="7"/>
      <c r="N40" s="21">
        <f>'LIT Scenario projections '!R18</f>
        <v>0.40549999999999975</v>
      </c>
      <c r="O40" s="21">
        <f>'LIT Scenario projections '!Q18</f>
        <v>0.39079520697167769</v>
      </c>
      <c r="P40" s="21">
        <f>'LIT Scenario projections '!S18</f>
        <v>0.18994999999999995</v>
      </c>
      <c r="Q40" s="7"/>
      <c r="R40" s="18">
        <f t="shared" si="15"/>
        <v>1739.5807157508937</v>
      </c>
      <c r="S40" s="18">
        <f t="shared" si="16"/>
        <v>11149.328963915568</v>
      </c>
      <c r="T40" s="18">
        <f t="shared" si="17"/>
        <v>0</v>
      </c>
      <c r="U40" s="7"/>
      <c r="V40" s="18">
        <f t="shared" si="18"/>
        <v>4443.7366360687874</v>
      </c>
      <c r="W40" s="18">
        <f t="shared" si="19"/>
        <v>12996.242822035452</v>
      </c>
      <c r="X40" s="18">
        <f t="shared" si="20"/>
        <v>6443.4093866621597</v>
      </c>
      <c r="Y40" s="7"/>
      <c r="Z40" s="18">
        <f t="shared" si="21"/>
        <v>4019.3731067634599</v>
      </c>
      <c r="AA40" s="18">
        <f t="shared" si="22"/>
        <v>10016.331770226907</v>
      </c>
      <c r="AB40" s="18">
        <f t="shared" si="23"/>
        <v>5002.3781663840473</v>
      </c>
    </row>
    <row r="41" spans="1:28" x14ac:dyDescent="0.35">
      <c r="A41" s="17">
        <v>2038</v>
      </c>
      <c r="B41" s="18">
        <f t="shared" si="12"/>
        <v>9881.923382350833</v>
      </c>
      <c r="C41" s="18">
        <f t="shared" si="13"/>
        <v>25655.199120011926</v>
      </c>
      <c r="D41" s="18">
        <f t="shared" si="14"/>
        <v>26301.898928803323</v>
      </c>
      <c r="F41" s="21">
        <f>'LIT Scenario projections '!D19</f>
        <v>0.16199999999999992</v>
      </c>
      <c r="G41" s="21">
        <f>'LIT Scenario projections '!C19</f>
        <v>0.44000000000000006</v>
      </c>
      <c r="H41" s="21">
        <f>'LIT Scenario projections '!E19</f>
        <v>0</v>
      </c>
      <c r="I41" s="7"/>
      <c r="J41" s="21">
        <f>'LIT Scenario projections '!K19</f>
        <v>0.45887499999999964</v>
      </c>
      <c r="K41" s="21">
        <f>'LIT Scenario projections '!J19</f>
        <v>0.52470588235294113</v>
      </c>
      <c r="L41" s="21">
        <f>'LIT Scenario projections '!L19</f>
        <v>0.26311250000000003</v>
      </c>
      <c r="M41" s="7"/>
      <c r="N41" s="21">
        <f>'LIT Scenario projections '!R19</f>
        <v>0.4127692307692305</v>
      </c>
      <c r="O41" s="21">
        <f>'LIT Scenario projections '!Q19</f>
        <v>0.3994989106753814</v>
      </c>
      <c r="P41" s="21">
        <f>'LIT Scenario projections '!S19</f>
        <v>0.20418461538461533</v>
      </c>
      <c r="Q41" s="7"/>
      <c r="R41" s="18">
        <f t="shared" si="15"/>
        <v>1600.8715879408342</v>
      </c>
      <c r="S41" s="18">
        <f t="shared" si="16"/>
        <v>11288.287612805249</v>
      </c>
      <c r="T41" s="18">
        <f t="shared" si="17"/>
        <v>0</v>
      </c>
      <c r="U41" s="7"/>
      <c r="V41" s="18">
        <f t="shared" si="18"/>
        <v>4534.5675920762351</v>
      </c>
      <c r="W41" s="18">
        <f t="shared" si="19"/>
        <v>13461.433891206258</v>
      </c>
      <c r="X41" s="18">
        <f t="shared" si="20"/>
        <v>6920.3583819047653</v>
      </c>
      <c r="Y41" s="7"/>
      <c r="Z41" s="18">
        <f t="shared" si="21"/>
        <v>4078.9539130534258</v>
      </c>
      <c r="AA41" s="18">
        <f t="shared" si="22"/>
        <v>10249.224101604768</v>
      </c>
      <c r="AB41" s="18">
        <f t="shared" si="23"/>
        <v>5370.4431166627319</v>
      </c>
    </row>
    <row r="42" spans="1:28" x14ac:dyDescent="0.35">
      <c r="A42" s="17">
        <v>2039</v>
      </c>
      <c r="B42" s="18">
        <f t="shared" si="12"/>
        <v>9852.5166635809801</v>
      </c>
      <c r="C42" s="18">
        <f t="shared" si="13"/>
        <v>25681.65361007964</v>
      </c>
      <c r="D42" s="18">
        <f t="shared" si="14"/>
        <v>26270.519681523307</v>
      </c>
      <c r="F42" s="21">
        <f>'LIT Scenario projections '!D20</f>
        <v>0.14849999999999991</v>
      </c>
      <c r="G42" s="21">
        <f>'LIT Scenario projections '!C20</f>
        <v>0.44500000000000006</v>
      </c>
      <c r="H42" s="21">
        <f>'LIT Scenario projections '!E20</f>
        <v>0</v>
      </c>
      <c r="I42" s="7"/>
      <c r="J42" s="21">
        <f>'LIT Scenario projections '!K20</f>
        <v>0.46943749999999962</v>
      </c>
      <c r="K42" s="21">
        <f>'LIT Scenario projections '!J20</f>
        <v>0.54235294117647059</v>
      </c>
      <c r="L42" s="21">
        <f>'LIT Scenario projections '!L20</f>
        <v>0.28155625000000001</v>
      </c>
      <c r="M42" s="7"/>
      <c r="N42" s="21">
        <f>'LIT Scenario projections '!R20</f>
        <v>0.42003846153846125</v>
      </c>
      <c r="O42" s="21">
        <f>'LIT Scenario projections '!Q20</f>
        <v>0.40820261437908512</v>
      </c>
      <c r="P42" s="21">
        <f>'LIT Scenario projections '!S20</f>
        <v>0.2184192307692307</v>
      </c>
      <c r="Q42" s="7"/>
      <c r="R42" s="18">
        <f t="shared" si="15"/>
        <v>1463.0987245417746</v>
      </c>
      <c r="S42" s="18">
        <f t="shared" si="16"/>
        <v>11428.335856485441</v>
      </c>
      <c r="T42" s="18">
        <f t="shared" si="17"/>
        <v>0</v>
      </c>
      <c r="U42" s="7"/>
      <c r="V42" s="18">
        <f t="shared" si="18"/>
        <v>4625.1407912597924</v>
      </c>
      <c r="W42" s="18">
        <f t="shared" si="19"/>
        <v>13928.520369702017</v>
      </c>
      <c r="X42" s="18">
        <f t="shared" si="20"/>
        <v>7396.6290070808964</v>
      </c>
      <c r="Y42" s="7"/>
      <c r="Z42" s="18">
        <f t="shared" si="21"/>
        <v>4138.4359416526077</v>
      </c>
      <c r="AA42" s="18">
        <f t="shared" si="22"/>
        <v>10483.318145212579</v>
      </c>
      <c r="AB42" s="18">
        <f t="shared" si="23"/>
        <v>5737.9867007462562</v>
      </c>
    </row>
    <row r="43" spans="1:28" x14ac:dyDescent="0.35">
      <c r="A43" s="17">
        <v>2040</v>
      </c>
      <c r="B43" s="18">
        <f t="shared" si="12"/>
        <v>9823.8033317712416</v>
      </c>
      <c r="C43" s="18">
        <f t="shared" si="13"/>
        <v>25709.721013062204</v>
      </c>
      <c r="D43" s="18">
        <f t="shared" si="14"/>
        <v>26240.796259008985</v>
      </c>
      <c r="F43" s="21">
        <f>'LIT Scenario projections '!D21</f>
        <v>0.1349999999999999</v>
      </c>
      <c r="G43" s="21">
        <f>'LIT Scenario projections '!C21</f>
        <v>0.45000000000000007</v>
      </c>
      <c r="H43" s="21">
        <f>'LIT Scenario projections '!E21</f>
        <v>0</v>
      </c>
      <c r="I43" s="7"/>
      <c r="J43" s="21">
        <f>'LIT Scenario projections '!K21</f>
        <v>0.48</v>
      </c>
      <c r="K43" s="21">
        <f>'LIT Scenario projections '!J21</f>
        <v>0.56000000000000005</v>
      </c>
      <c r="L43" s="21">
        <f>'LIT Scenario projections '!L21</f>
        <v>0.3</v>
      </c>
      <c r="M43" s="7"/>
      <c r="N43" s="21">
        <f>'LIT Scenario projections '!R21</f>
        <v>0.427307692307692</v>
      </c>
      <c r="O43" s="21">
        <f>'LIT Scenario projections '!Q21</f>
        <v>0.41690631808278883</v>
      </c>
      <c r="P43" s="21">
        <f>'LIT Scenario projections '!S21</f>
        <v>0.23265384615384607</v>
      </c>
      <c r="Q43" s="7"/>
      <c r="R43" s="18">
        <f t="shared" si="15"/>
        <v>1326.2134497891166</v>
      </c>
      <c r="S43" s="18">
        <f t="shared" si="16"/>
        <v>11569.374455877994</v>
      </c>
      <c r="T43" s="18">
        <f t="shared" si="17"/>
        <v>0</v>
      </c>
      <c r="U43" s="7"/>
      <c r="V43" s="18">
        <f t="shared" si="18"/>
        <v>4715.4255992501958</v>
      </c>
      <c r="W43" s="18">
        <f t="shared" si="19"/>
        <v>14397.443767314835</v>
      </c>
      <c r="X43" s="18">
        <f t="shared" si="20"/>
        <v>7872.2388777026954</v>
      </c>
      <c r="Y43" s="7"/>
      <c r="Z43" s="18">
        <f t="shared" si="21"/>
        <v>4197.7867313837851</v>
      </c>
      <c r="AA43" s="18">
        <f t="shared" si="22"/>
        <v>10718.545126491472</v>
      </c>
      <c r="AB43" s="18">
        <f t="shared" si="23"/>
        <v>6105.0221757978961</v>
      </c>
    </row>
    <row r="44" spans="1:28" x14ac:dyDescent="0.35">
      <c r="A44" s="17">
        <v>2041</v>
      </c>
      <c r="B44" s="18">
        <f t="shared" si="12"/>
        <v>9795.6375978684609</v>
      </c>
      <c r="C44" s="18">
        <f t="shared" si="13"/>
        <v>25739.038083345939</v>
      </c>
      <c r="D44" s="18">
        <f t="shared" si="14"/>
        <v>26212.34787497561</v>
      </c>
      <c r="F44" s="21">
        <f>'LIT Scenario projections '!D22</f>
        <v>0.1214999999999999</v>
      </c>
      <c r="G44" s="21">
        <f>'LIT Scenario projections '!C22</f>
        <v>0.45500000000000007</v>
      </c>
      <c r="H44" s="21">
        <f>'LIT Scenario projections '!E22</f>
        <v>0</v>
      </c>
      <c r="I44" s="7"/>
      <c r="J44" s="21">
        <f>'LIT Scenario projections '!K22</f>
        <v>0.49399999999999999</v>
      </c>
      <c r="K44" s="21">
        <f>'LIT Scenario projections '!J22</f>
        <v>0.56400000000000006</v>
      </c>
      <c r="L44" s="21">
        <f>'LIT Scenario projections '!L22</f>
        <v>0.32999999999999996</v>
      </c>
      <c r="M44" s="7"/>
      <c r="N44" s="21">
        <f>'LIT Scenario projections '!R22</f>
        <v>0.43457692307692275</v>
      </c>
      <c r="O44" s="21">
        <f>'LIT Scenario projections '!Q22</f>
        <v>0.42561002178649254</v>
      </c>
      <c r="P44" s="21">
        <f>'LIT Scenario projections '!S22</f>
        <v>0.24688846153846145</v>
      </c>
      <c r="Q44" s="7"/>
      <c r="R44" s="18">
        <f t="shared" si="15"/>
        <v>1190.1699681410171</v>
      </c>
      <c r="S44" s="18">
        <f t="shared" si="16"/>
        <v>11711.262327922404</v>
      </c>
      <c r="T44" s="18">
        <f t="shared" si="17"/>
        <v>0</v>
      </c>
      <c r="U44" s="7"/>
      <c r="V44" s="18">
        <f t="shared" si="18"/>
        <v>4839.0449733470195</v>
      </c>
      <c r="W44" s="18">
        <f t="shared" si="19"/>
        <v>14516.817479007112</v>
      </c>
      <c r="X44" s="18">
        <f t="shared" si="20"/>
        <v>8650.0747987419509</v>
      </c>
      <c r="Y44" s="7"/>
      <c r="Z44" s="18">
        <f t="shared" si="21"/>
        <v>4256.9580468582944</v>
      </c>
      <c r="AA44" s="18">
        <f t="shared" si="22"/>
        <v>10954.792559416226</v>
      </c>
      <c r="AB44" s="18">
        <f t="shared" si="23"/>
        <v>6471.5262401636874</v>
      </c>
    </row>
    <row r="45" spans="1:28" x14ac:dyDescent="0.35">
      <c r="A45" s="17">
        <v>2042</v>
      </c>
      <c r="B45" s="18">
        <f t="shared" si="12"/>
        <v>9767.9696802447361</v>
      </c>
      <c r="C45" s="18">
        <f t="shared" si="13"/>
        <v>25769.488862924005</v>
      </c>
      <c r="D45" s="18">
        <f t="shared" si="14"/>
        <v>26185.048354484403</v>
      </c>
      <c r="F45" s="21">
        <f>'LIT Scenario projections '!D23</f>
        <v>0.1079999999999999</v>
      </c>
      <c r="G45" s="21">
        <f>'LIT Scenario projections '!C23</f>
        <v>0.46000000000000008</v>
      </c>
      <c r="H45" s="21">
        <f>'LIT Scenario projections '!E23</f>
        <v>0</v>
      </c>
      <c r="I45" s="7"/>
      <c r="J45" s="21">
        <f>'LIT Scenario projections '!K23</f>
        <v>0.50800000000000001</v>
      </c>
      <c r="K45" s="21">
        <f>'LIT Scenario projections '!J23</f>
        <v>0.56800000000000006</v>
      </c>
      <c r="L45" s="21">
        <f>'LIT Scenario projections '!L23</f>
        <v>0.36</v>
      </c>
      <c r="M45" s="7"/>
      <c r="N45" s="21">
        <f>'LIT Scenario projections '!R23</f>
        <v>0.4418461538461535</v>
      </c>
      <c r="O45" s="21">
        <f>'LIT Scenario projections '!Q23</f>
        <v>0.43431372549019626</v>
      </c>
      <c r="P45" s="21">
        <f>'LIT Scenario projections '!S23</f>
        <v>0.26112307692307685</v>
      </c>
      <c r="Q45" s="7"/>
      <c r="R45" s="18">
        <f t="shared" si="15"/>
        <v>1054.9407254664306</v>
      </c>
      <c r="S45" s="18">
        <f t="shared" si="16"/>
        <v>11853.964876945045</v>
      </c>
      <c r="T45" s="18">
        <f t="shared" si="17"/>
        <v>0</v>
      </c>
      <c r="U45" s="7"/>
      <c r="V45" s="18">
        <f t="shared" si="18"/>
        <v>4962.1285975643259</v>
      </c>
      <c r="W45" s="18">
        <f t="shared" si="19"/>
        <v>14637.069674140836</v>
      </c>
      <c r="X45" s="18">
        <f t="shared" si="20"/>
        <v>9426.6174076143852</v>
      </c>
      <c r="Y45" s="7"/>
      <c r="Z45" s="18">
        <f t="shared" si="21"/>
        <v>4315.9398341019787</v>
      </c>
      <c r="AA45" s="18">
        <f t="shared" si="22"/>
        <v>11192.042712034647</v>
      </c>
      <c r="AB45" s="18">
        <f t="shared" si="23"/>
        <v>6837.5203957025178</v>
      </c>
    </row>
    <row r="46" spans="1:28" x14ac:dyDescent="0.35">
      <c r="A46" s="17">
        <v>2043</v>
      </c>
      <c r="B46" s="18">
        <f t="shared" si="12"/>
        <v>9740.5080007937631</v>
      </c>
      <c r="C46" s="18">
        <f t="shared" si="13"/>
        <v>25800.314947159768</v>
      </c>
      <c r="D46" s="18">
        <f t="shared" si="14"/>
        <v>26158.121250620006</v>
      </c>
      <c r="F46" s="21">
        <f>'LIT Scenario projections '!D24</f>
        <v>9.4499999999999904E-2</v>
      </c>
      <c r="G46" s="21">
        <f>'LIT Scenario projections '!C24</f>
        <v>0.46500000000000008</v>
      </c>
      <c r="H46" s="21">
        <f>'LIT Scenario projections '!E24</f>
        <v>0</v>
      </c>
      <c r="I46" s="7"/>
      <c r="J46" s="21">
        <f>'LIT Scenario projections '!K24</f>
        <v>0.52200000000000002</v>
      </c>
      <c r="K46" s="21">
        <f>'LIT Scenario projections '!J24</f>
        <v>0.57200000000000006</v>
      </c>
      <c r="L46" s="21">
        <f>'LIT Scenario projections '!L24</f>
        <v>0.39</v>
      </c>
      <c r="M46" s="7"/>
      <c r="N46" s="21">
        <f>'LIT Scenario projections '!R24</f>
        <v>0.44911538461538425</v>
      </c>
      <c r="O46" s="21">
        <f>'LIT Scenario projections '!Q24</f>
        <v>0.44301742919389997</v>
      </c>
      <c r="P46" s="21">
        <f>'LIT Scenario projections '!S24</f>
        <v>0.27535769230769225</v>
      </c>
      <c r="Q46" s="7"/>
      <c r="R46" s="18">
        <f t="shared" si="15"/>
        <v>920.47800607500972</v>
      </c>
      <c r="S46" s="18">
        <f t="shared" si="16"/>
        <v>11997.146450429294</v>
      </c>
      <c r="T46" s="18">
        <f t="shared" si="17"/>
        <v>0</v>
      </c>
      <c r="U46" s="7"/>
      <c r="V46" s="18">
        <f t="shared" si="18"/>
        <v>5084.5451764143445</v>
      </c>
      <c r="W46" s="18">
        <f t="shared" si="19"/>
        <v>14757.78014977539</v>
      </c>
      <c r="X46" s="18">
        <f t="shared" si="20"/>
        <v>10201.667287741802</v>
      </c>
      <c r="Y46" s="7"/>
      <c r="Z46" s="18">
        <f t="shared" si="21"/>
        <v>4374.6119971257185</v>
      </c>
      <c r="AA46" s="18">
        <f t="shared" si="22"/>
        <v>11429.989200283671</v>
      </c>
      <c r="AB46" s="18">
        <f t="shared" si="23"/>
        <v>7202.8399026755296</v>
      </c>
    </row>
    <row r="47" spans="1:28" x14ac:dyDescent="0.35">
      <c r="A47" s="17">
        <v>2044</v>
      </c>
      <c r="B47" s="18">
        <f t="shared" si="12"/>
        <v>9713.0214305288355</v>
      </c>
      <c r="C47" s="18">
        <f t="shared" si="13"/>
        <v>25830.906389564811</v>
      </c>
      <c r="D47" s="18">
        <f t="shared" si="14"/>
        <v>26130.947166385253</v>
      </c>
      <c r="F47" s="21">
        <f>'LIT Scenario projections '!D25</f>
        <v>8.0999999999999905E-2</v>
      </c>
      <c r="G47" s="21">
        <f>'LIT Scenario projections '!C25</f>
        <v>0.47000000000000008</v>
      </c>
      <c r="H47" s="21">
        <f>'LIT Scenario projections '!E25</f>
        <v>0</v>
      </c>
      <c r="I47" s="7"/>
      <c r="J47" s="21">
        <f>'LIT Scenario projections '!K25</f>
        <v>0.53600000000000003</v>
      </c>
      <c r="K47" s="21">
        <f>'LIT Scenario projections '!J25</f>
        <v>0.57600000000000007</v>
      </c>
      <c r="L47" s="21">
        <f>'LIT Scenario projections '!L25</f>
        <v>0.42000000000000004</v>
      </c>
      <c r="M47" s="7"/>
      <c r="N47" s="21">
        <f>'LIT Scenario projections '!R25</f>
        <v>0.456384615384615</v>
      </c>
      <c r="O47" s="21">
        <f>'LIT Scenario projections '!Q25</f>
        <v>0.45172113289760368</v>
      </c>
      <c r="P47" s="21">
        <f>'LIT Scenario projections '!S25</f>
        <v>0.28959230769230765</v>
      </c>
      <c r="Q47" s="7"/>
      <c r="R47" s="18">
        <f t="shared" si="15"/>
        <v>786.75473587283477</v>
      </c>
      <c r="S47" s="18">
        <f t="shared" si="16"/>
        <v>12140.526003095463</v>
      </c>
      <c r="T47" s="18">
        <f t="shared" si="17"/>
        <v>0</v>
      </c>
      <c r="U47" s="7"/>
      <c r="V47" s="18">
        <f t="shared" si="18"/>
        <v>5206.1794867634562</v>
      </c>
      <c r="W47" s="18">
        <f t="shared" si="19"/>
        <v>14878.602080389333</v>
      </c>
      <c r="X47" s="18">
        <f t="shared" si="20"/>
        <v>10974.997809881806</v>
      </c>
      <c r="Y47" s="7"/>
      <c r="Z47" s="18">
        <f t="shared" si="21"/>
        <v>4432.8735497944253</v>
      </c>
      <c r="AA47" s="18">
        <f t="shared" si="22"/>
        <v>11668.366298066167</v>
      </c>
      <c r="AB47" s="18">
        <f t="shared" si="23"/>
        <v>7567.3212920992728</v>
      </c>
    </row>
    <row r="48" spans="1:28" x14ac:dyDescent="0.35">
      <c r="A48" s="17">
        <v>2045</v>
      </c>
      <c r="B48" s="18">
        <f t="shared" si="12"/>
        <v>9685.3748478884991</v>
      </c>
      <c r="C48" s="18">
        <f t="shared" si="13"/>
        <v>25860.899752389039</v>
      </c>
      <c r="D48" s="18">
        <f t="shared" si="14"/>
        <v>26103.161017273404</v>
      </c>
      <c r="F48" s="21">
        <f>'LIT Scenario projections '!D26</f>
        <v>6.7499999999999907E-2</v>
      </c>
      <c r="G48" s="21">
        <f>'LIT Scenario projections '!C26</f>
        <v>0.47500000000000009</v>
      </c>
      <c r="H48" s="21">
        <f>'LIT Scenario projections '!E26</f>
        <v>0</v>
      </c>
      <c r="I48" s="7"/>
      <c r="J48" s="21">
        <f>'LIT Scenario projections '!K26</f>
        <v>0.55000000000000004</v>
      </c>
      <c r="K48" s="21">
        <f>'LIT Scenario projections '!J26</f>
        <v>0.58000000000000007</v>
      </c>
      <c r="L48" s="21">
        <f>'LIT Scenario projections '!L26</f>
        <v>0.45000000000000007</v>
      </c>
      <c r="M48" s="7"/>
      <c r="N48" s="21">
        <f>'LIT Scenario projections '!R26</f>
        <v>0.46365384615384575</v>
      </c>
      <c r="O48" s="21">
        <f>'LIT Scenario projections '!Q26</f>
        <v>0.4604248366013074</v>
      </c>
      <c r="P48" s="21">
        <f>'LIT Scenario projections '!S26</f>
        <v>0.30382692307692305</v>
      </c>
      <c r="Q48" s="7"/>
      <c r="R48" s="18">
        <f t="shared" si="15"/>
        <v>653.76280223247284</v>
      </c>
      <c r="S48" s="18">
        <f t="shared" si="16"/>
        <v>12283.927382384796</v>
      </c>
      <c r="T48" s="18">
        <f t="shared" si="17"/>
        <v>0</v>
      </c>
      <c r="U48" s="7"/>
      <c r="V48" s="18">
        <f t="shared" si="18"/>
        <v>5326.9561663386748</v>
      </c>
      <c r="W48" s="18">
        <f t="shared" si="19"/>
        <v>14999.321856385644</v>
      </c>
      <c r="X48" s="18">
        <f t="shared" si="20"/>
        <v>11746.422457773033</v>
      </c>
      <c r="Y48" s="7"/>
      <c r="Z48" s="18">
        <f t="shared" si="21"/>
        <v>4490.6612996652211</v>
      </c>
      <c r="AA48" s="18">
        <f t="shared" si="22"/>
        <v>11907.000542856515</v>
      </c>
      <c r="AB48" s="18">
        <f t="shared" si="23"/>
        <v>7930.843094459663</v>
      </c>
    </row>
    <row r="49" spans="1:28" x14ac:dyDescent="0.35">
      <c r="A49" s="17">
        <v>2046</v>
      </c>
      <c r="B49" s="18">
        <f t="shared" si="12"/>
        <v>9657.1273298827309</v>
      </c>
      <c r="C49" s="18">
        <f t="shared" si="13"/>
        <v>25889.105978082778</v>
      </c>
      <c r="D49" s="18">
        <f t="shared" si="14"/>
        <v>26073.569468913614</v>
      </c>
      <c r="F49" s="21">
        <f>'LIT Scenario projections '!D27</f>
        <v>5.3999999999999909E-2</v>
      </c>
      <c r="G49" s="21">
        <f>'LIT Scenario projections '!C27</f>
        <v>0.48000000000000009</v>
      </c>
      <c r="H49" s="21">
        <f>'LIT Scenario projections '!E27</f>
        <v>0</v>
      </c>
      <c r="I49" s="7"/>
      <c r="J49" s="21">
        <f>'LIT Scenario projections '!K27</f>
        <v>0.56400000000000006</v>
      </c>
      <c r="K49" s="21">
        <f>'LIT Scenario projections '!J27</f>
        <v>0.58400000000000007</v>
      </c>
      <c r="L49" s="21">
        <f>'LIT Scenario projections '!L27</f>
        <v>0.48000000000000009</v>
      </c>
      <c r="M49" s="7"/>
      <c r="N49" s="21">
        <f>'LIT Scenario projections '!R27</f>
        <v>0.4709230769230765</v>
      </c>
      <c r="O49" s="21">
        <f>'LIT Scenario projections '!Q27</f>
        <v>0.46912854030501111</v>
      </c>
      <c r="P49" s="21">
        <f>'LIT Scenario projections '!S27</f>
        <v>0.31806153846153845</v>
      </c>
      <c r="Q49" s="7"/>
      <c r="R49" s="18">
        <f t="shared" si="15"/>
        <v>521.48487581366658</v>
      </c>
      <c r="S49" s="18">
        <f t="shared" si="16"/>
        <v>12426.770869479737</v>
      </c>
      <c r="T49" s="18">
        <f t="shared" si="17"/>
        <v>0</v>
      </c>
      <c r="U49" s="7"/>
      <c r="V49" s="18">
        <f t="shared" si="18"/>
        <v>5446.6198140538609</v>
      </c>
      <c r="W49" s="18">
        <f t="shared" si="19"/>
        <v>15119.237891200344</v>
      </c>
      <c r="X49" s="18">
        <f t="shared" si="20"/>
        <v>12515.313345078537</v>
      </c>
      <c r="Y49" s="7"/>
      <c r="Z49" s="18">
        <f t="shared" si="21"/>
        <v>4547.7641164263096</v>
      </c>
      <c r="AA49" s="18">
        <f t="shared" si="22"/>
        <v>12145.318497299711</v>
      </c>
      <c r="AB49" s="18">
        <f t="shared" si="23"/>
        <v>8292.9996184664615</v>
      </c>
    </row>
    <row r="50" spans="1:28" x14ac:dyDescent="0.35">
      <c r="A50" s="17">
        <v>2047</v>
      </c>
      <c r="B50" s="18">
        <f t="shared" si="12"/>
        <v>9627.9055143022451</v>
      </c>
      <c r="C50" s="18">
        <f t="shared" si="13"/>
        <v>25914.498800137761</v>
      </c>
      <c r="D50" s="18">
        <f t="shared" si="14"/>
        <v>26041.153398189752</v>
      </c>
      <c r="F50" s="21">
        <f>'LIT Scenario projections '!D28</f>
        <v>4.0499999999999911E-2</v>
      </c>
      <c r="G50" s="21">
        <f>'LIT Scenario projections '!C28</f>
        <v>0.4850000000000001</v>
      </c>
      <c r="H50" s="21">
        <f>'LIT Scenario projections '!E28</f>
        <v>0</v>
      </c>
      <c r="I50" s="7"/>
      <c r="J50" s="21">
        <f>'LIT Scenario projections '!K28</f>
        <v>0.57800000000000007</v>
      </c>
      <c r="K50" s="21">
        <f>'LIT Scenario projections '!J28</f>
        <v>0.58800000000000008</v>
      </c>
      <c r="L50" s="21">
        <f>'LIT Scenario projections '!L28</f>
        <v>0.51000000000000012</v>
      </c>
      <c r="M50" s="7"/>
      <c r="N50" s="21">
        <f>'LIT Scenario projections '!R28</f>
        <v>0.47819230769230725</v>
      </c>
      <c r="O50" s="21">
        <f>'LIT Scenario projections '!Q28</f>
        <v>0.47783224400871482</v>
      </c>
      <c r="P50" s="21">
        <f>'LIT Scenario projections '!S28</f>
        <v>0.33229615384615385</v>
      </c>
      <c r="Q50" s="7"/>
      <c r="R50" s="18">
        <f t="shared" si="15"/>
        <v>389.93017332924006</v>
      </c>
      <c r="S50" s="18">
        <f t="shared" si="16"/>
        <v>12568.531918066816</v>
      </c>
      <c r="T50" s="18">
        <f t="shared" si="17"/>
        <v>0</v>
      </c>
      <c r="U50" s="7"/>
      <c r="V50" s="18">
        <f t="shared" si="18"/>
        <v>5564.9293872666985</v>
      </c>
      <c r="W50" s="18">
        <f t="shared" si="19"/>
        <v>15237.725294481006</v>
      </c>
      <c r="X50" s="18">
        <f t="shared" si="20"/>
        <v>13280.988233076776</v>
      </c>
      <c r="Y50" s="7"/>
      <c r="Z50" s="18">
        <f t="shared" si="21"/>
        <v>4603.9903561276806</v>
      </c>
      <c r="AA50" s="18">
        <f t="shared" si="22"/>
        <v>12382.783114030974</v>
      </c>
      <c r="AB50" s="18">
        <f t="shared" si="23"/>
        <v>8653.3751159361545</v>
      </c>
    </row>
    <row r="51" spans="1:28" x14ac:dyDescent="0.35">
      <c r="A51" s="17">
        <v>2048</v>
      </c>
      <c r="B51" s="18">
        <f t="shared" si="12"/>
        <v>9597.2258081902401</v>
      </c>
      <c r="C51" s="18">
        <f t="shared" si="13"/>
        <v>25935.737738530617</v>
      </c>
      <c r="D51" s="18">
        <f t="shared" si="14"/>
        <v>26004.587745987163</v>
      </c>
      <c r="F51" s="21">
        <f>'LIT Scenario projections '!D29</f>
        <v>2.6999999999999909E-2</v>
      </c>
      <c r="G51" s="21">
        <f>'LIT Scenario projections '!C29</f>
        <v>0.4900000000000001</v>
      </c>
      <c r="H51" s="21">
        <f>'LIT Scenario projections '!E29</f>
        <v>0</v>
      </c>
      <c r="I51" s="7"/>
      <c r="J51" s="21">
        <f>'LIT Scenario projections '!K29</f>
        <v>0.59200000000000008</v>
      </c>
      <c r="K51" s="21">
        <f>'LIT Scenario projections '!J29</f>
        <v>0.59200000000000008</v>
      </c>
      <c r="L51" s="21">
        <f>'LIT Scenario projections '!L29</f>
        <v>0.54000000000000015</v>
      </c>
      <c r="M51" s="7"/>
      <c r="N51" s="21">
        <f>'LIT Scenario projections '!R29</f>
        <v>0.485461538461538</v>
      </c>
      <c r="O51" s="21">
        <f>'LIT Scenario projections '!Q29</f>
        <v>0.48653594771241854</v>
      </c>
      <c r="P51" s="21">
        <f>'LIT Scenario projections '!S29</f>
        <v>0.34653076923076925</v>
      </c>
      <c r="Q51" s="7"/>
      <c r="R51" s="18">
        <f t="shared" si="15"/>
        <v>259.12509682113563</v>
      </c>
      <c r="S51" s="18">
        <f t="shared" si="16"/>
        <v>12708.511491880005</v>
      </c>
      <c r="T51" s="18">
        <f t="shared" si="17"/>
        <v>0</v>
      </c>
      <c r="U51" s="7"/>
      <c r="V51" s="18">
        <f t="shared" si="18"/>
        <v>5681.5576784486229</v>
      </c>
      <c r="W51" s="18">
        <f t="shared" si="19"/>
        <v>15353.956741210128</v>
      </c>
      <c r="X51" s="18">
        <f t="shared" si="20"/>
        <v>14042.477382833071</v>
      </c>
      <c r="Y51" s="7"/>
      <c r="Z51" s="18">
        <f t="shared" si="21"/>
        <v>4659.0840058068115</v>
      </c>
      <c r="AA51" s="18">
        <f t="shared" si="22"/>
        <v>12618.668740236733</v>
      </c>
      <c r="AB51" s="18">
        <f t="shared" si="23"/>
        <v>9011.3897951459676</v>
      </c>
    </row>
    <row r="52" spans="1:28" x14ac:dyDescent="0.35">
      <c r="A52" s="17">
        <v>2049</v>
      </c>
      <c r="B52" s="18">
        <f t="shared" si="12"/>
        <v>9564.8001892709817</v>
      </c>
      <c r="C52" s="18">
        <f t="shared" si="13"/>
        <v>25951.991675549318</v>
      </c>
      <c r="D52" s="18">
        <f t="shared" si="14"/>
        <v>25963.068893866588</v>
      </c>
      <c r="F52" s="21">
        <f>'LIT Scenario projections '!D30</f>
        <v>1.3499999999999908E-2</v>
      </c>
      <c r="G52" s="21">
        <f>'LIT Scenario projections '!C30</f>
        <v>0.49500000000000011</v>
      </c>
      <c r="H52" s="21">
        <f>'LIT Scenario projections '!E30</f>
        <v>0</v>
      </c>
      <c r="I52" s="7"/>
      <c r="J52" s="21">
        <f>'LIT Scenario projections '!K30</f>
        <v>0.60600000000000009</v>
      </c>
      <c r="K52" s="21">
        <f>'LIT Scenario projections '!J30</f>
        <v>0.59600000000000009</v>
      </c>
      <c r="L52" s="21">
        <f>'LIT Scenario projections '!L30</f>
        <v>0.57000000000000017</v>
      </c>
      <c r="M52" s="7"/>
      <c r="N52" s="21">
        <f>'LIT Scenario projections '!R30</f>
        <v>0.49273076923076875</v>
      </c>
      <c r="O52" s="21">
        <f>'LIT Scenario projections '!Q30</f>
        <v>0.49523965141612225</v>
      </c>
      <c r="P52" s="21">
        <f>'LIT Scenario projections '!S30</f>
        <v>0.36076538461538465</v>
      </c>
      <c r="Q52" s="7"/>
      <c r="R52" s="18">
        <f t="shared" si="15"/>
        <v>129.12480255515737</v>
      </c>
      <c r="S52" s="18">
        <f t="shared" si="16"/>
        <v>12846.235879396914</v>
      </c>
      <c r="T52" s="18">
        <f t="shared" si="17"/>
        <v>0</v>
      </c>
      <c r="U52" s="7"/>
      <c r="V52" s="18">
        <f t="shared" si="18"/>
        <v>5796.2689146982157</v>
      </c>
      <c r="W52" s="18">
        <f t="shared" si="19"/>
        <v>15467.387038627396</v>
      </c>
      <c r="X52" s="18">
        <f t="shared" si="20"/>
        <v>14798.949269503959</v>
      </c>
      <c r="Y52" s="7"/>
      <c r="Z52" s="18">
        <f t="shared" si="21"/>
        <v>4712.8713547980933</v>
      </c>
      <c r="AA52" s="18">
        <f t="shared" si="22"/>
        <v>12852.45531095315</v>
      </c>
      <c r="AB52" s="18">
        <f t="shared" si="23"/>
        <v>9366.5765352915096</v>
      </c>
    </row>
    <row r="53" spans="1:28" x14ac:dyDescent="0.35">
      <c r="A53" s="17">
        <v>2050</v>
      </c>
      <c r="B53" s="18">
        <f t="shared" si="12"/>
        <v>9530.4544218468</v>
      </c>
      <c r="C53" s="18">
        <f t="shared" si="13"/>
        <v>25962.72651083595</v>
      </c>
      <c r="D53" s="18">
        <f t="shared" si="14"/>
        <v>25916.096973252283</v>
      </c>
      <c r="F53" s="21">
        <f>'LIT Scenario projections '!D31</f>
        <v>0</v>
      </c>
      <c r="G53" s="21">
        <f>'LIT Scenario projections '!C31</f>
        <v>0.5</v>
      </c>
      <c r="H53" s="21">
        <f>'LIT Scenario projections '!E31</f>
        <v>0</v>
      </c>
      <c r="I53" s="7"/>
      <c r="J53" s="21">
        <f>'LIT Scenario projections '!K31</f>
        <v>0.62</v>
      </c>
      <c r="K53" s="21">
        <f>'LIT Scenario projections '!J31</f>
        <v>0.6</v>
      </c>
      <c r="L53" s="21">
        <f>'LIT Scenario projections '!L31</f>
        <v>0.6</v>
      </c>
      <c r="M53" s="7"/>
      <c r="N53" s="21">
        <f>'LIT Scenario projections '!R31</f>
        <v>0.5</v>
      </c>
      <c r="O53" s="21">
        <f>'LIT Scenario projections '!Q31</f>
        <v>0.495</v>
      </c>
      <c r="P53" s="21">
        <f>'LIT Scenario projections '!S31</f>
        <v>0.375</v>
      </c>
      <c r="Q53" s="7"/>
      <c r="R53" s="18">
        <f t="shared" si="15"/>
        <v>0</v>
      </c>
      <c r="S53" s="18">
        <f t="shared" si="16"/>
        <v>12981.363255417975</v>
      </c>
      <c r="T53" s="18">
        <f t="shared" si="17"/>
        <v>0</v>
      </c>
      <c r="U53" s="7"/>
      <c r="V53" s="18">
        <f t="shared" si="18"/>
        <v>5908.8817415450158</v>
      </c>
      <c r="W53" s="18">
        <f t="shared" si="19"/>
        <v>15577.635906501569</v>
      </c>
      <c r="X53" s="18">
        <f t="shared" si="20"/>
        <v>15549.658183951369</v>
      </c>
      <c r="Y53" s="7"/>
      <c r="Z53" s="18">
        <f t="shared" si="21"/>
        <v>4765.2272109234</v>
      </c>
      <c r="AA53" s="18">
        <f t="shared" si="22"/>
        <v>12851.549622863795</v>
      </c>
      <c r="AB53" s="18">
        <f t="shared" si="23"/>
        <v>9718.5363649696064</v>
      </c>
    </row>
    <row r="57" spans="1:28" ht="32" customHeight="1" x14ac:dyDescent="0.35">
      <c r="A57" s="11" t="s">
        <v>126</v>
      </c>
      <c r="B57" s="11" t="s">
        <v>130</v>
      </c>
      <c r="C57" s="11" t="s">
        <v>131</v>
      </c>
      <c r="D57" s="11" t="s">
        <v>132</v>
      </c>
      <c r="E57" s="11" t="s">
        <v>129</v>
      </c>
    </row>
    <row r="58" spans="1:28" x14ac:dyDescent="0.35">
      <c r="A58" s="17">
        <v>2000</v>
      </c>
      <c r="B58" s="34">
        <v>8619</v>
      </c>
      <c r="C58" s="18">
        <f t="shared" ref="C58:C81" si="24">B58*1000</f>
        <v>8619000</v>
      </c>
      <c r="D58" s="13">
        <v>3697838</v>
      </c>
      <c r="E58" s="45">
        <f t="shared" ref="E58:E81" si="25">C58/D58</f>
        <v>2.3308214151079629</v>
      </c>
    </row>
    <row r="59" spans="1:28" x14ac:dyDescent="0.35">
      <c r="A59" s="17">
        <v>2001</v>
      </c>
      <c r="B59" s="34">
        <v>8565</v>
      </c>
      <c r="C59" s="18">
        <f t="shared" si="24"/>
        <v>8565000</v>
      </c>
      <c r="D59" s="13">
        <v>3499536</v>
      </c>
      <c r="E59" s="45">
        <f t="shared" si="25"/>
        <v>2.4474673213820348</v>
      </c>
    </row>
    <row r="60" spans="1:28" x14ac:dyDescent="0.35">
      <c r="A60" s="17">
        <v>2002</v>
      </c>
      <c r="B60" s="34">
        <v>9494</v>
      </c>
      <c r="C60" s="18">
        <f t="shared" si="24"/>
        <v>9494000</v>
      </c>
      <c r="D60" s="13">
        <v>2937253</v>
      </c>
      <c r="E60" s="45">
        <f t="shared" si="25"/>
        <v>3.2322717859169776</v>
      </c>
    </row>
    <row r="61" spans="1:28" x14ac:dyDescent="0.35">
      <c r="A61" s="17">
        <v>2003</v>
      </c>
      <c r="B61" s="34">
        <v>9999</v>
      </c>
      <c r="C61" s="18">
        <f t="shared" si="24"/>
        <v>9999000</v>
      </c>
      <c r="D61" s="13">
        <v>2911109</v>
      </c>
      <c r="E61" s="45">
        <f t="shared" si="25"/>
        <v>3.4347734832326786</v>
      </c>
    </row>
    <row r="62" spans="1:28" x14ac:dyDescent="0.35">
      <c r="A62" s="17">
        <v>2004</v>
      </c>
      <c r="B62" s="34">
        <v>10276</v>
      </c>
      <c r="C62" s="18">
        <f t="shared" si="24"/>
        <v>10276000</v>
      </c>
      <c r="D62" s="13">
        <v>2877325</v>
      </c>
      <c r="E62" s="45">
        <f t="shared" si="25"/>
        <v>3.5713727159775139</v>
      </c>
    </row>
    <row r="63" spans="1:28" x14ac:dyDescent="0.35">
      <c r="A63" s="17">
        <v>2005</v>
      </c>
      <c r="B63" s="34">
        <v>11689</v>
      </c>
      <c r="C63" s="18">
        <f t="shared" si="24"/>
        <v>11689000</v>
      </c>
      <c r="D63" s="13">
        <v>2842639</v>
      </c>
      <c r="E63" s="45">
        <f t="shared" si="25"/>
        <v>4.1120240734050295</v>
      </c>
    </row>
    <row r="64" spans="1:28" x14ac:dyDescent="0.35">
      <c r="A64" s="17">
        <v>2006</v>
      </c>
      <c r="B64" s="34">
        <v>12044</v>
      </c>
      <c r="C64" s="18">
        <f t="shared" si="24"/>
        <v>12044000</v>
      </c>
      <c r="D64" s="13">
        <v>2819200</v>
      </c>
      <c r="E64" s="45">
        <f t="shared" si="25"/>
        <v>4.2721339387060162</v>
      </c>
    </row>
    <row r="65" spans="1:10" x14ac:dyDescent="0.35">
      <c r="A65" s="17">
        <v>2007</v>
      </c>
      <c r="B65" s="34">
        <v>12336</v>
      </c>
      <c r="C65" s="18">
        <f t="shared" si="24"/>
        <v>12336000</v>
      </c>
      <c r="D65" s="13">
        <v>2811089</v>
      </c>
      <c r="E65" s="45">
        <f t="shared" si="25"/>
        <v>4.3883349121995074</v>
      </c>
    </row>
    <row r="66" spans="1:10" x14ac:dyDescent="0.35">
      <c r="A66" s="17">
        <v>2008</v>
      </c>
      <c r="B66" s="34">
        <v>11058</v>
      </c>
      <c r="C66" s="18">
        <f t="shared" si="24"/>
        <v>11058000</v>
      </c>
      <c r="D66" s="13">
        <v>2810369</v>
      </c>
      <c r="E66" s="45">
        <f t="shared" si="25"/>
        <v>3.9347146228840413</v>
      </c>
    </row>
    <row r="67" spans="1:10" x14ac:dyDescent="0.35">
      <c r="A67" s="17">
        <v>2009</v>
      </c>
      <c r="B67" s="34">
        <v>9711</v>
      </c>
      <c r="C67" s="18">
        <f t="shared" si="24"/>
        <v>9711000</v>
      </c>
      <c r="D67" s="13">
        <v>2808380</v>
      </c>
      <c r="E67" s="45">
        <f t="shared" si="25"/>
        <v>3.4578653885870145</v>
      </c>
    </row>
    <row r="68" spans="1:10" x14ac:dyDescent="0.35">
      <c r="A68" s="17">
        <v>2010</v>
      </c>
      <c r="B68" s="34">
        <v>10572</v>
      </c>
      <c r="C68" s="18">
        <f t="shared" si="24"/>
        <v>10572000</v>
      </c>
      <c r="D68" s="13">
        <v>2810369</v>
      </c>
      <c r="E68" s="45">
        <f t="shared" si="25"/>
        <v>3.7617835949656433</v>
      </c>
    </row>
    <row r="69" spans="1:10" x14ac:dyDescent="0.35">
      <c r="A69" s="17">
        <v>2011</v>
      </c>
      <c r="B69" s="34">
        <v>11323</v>
      </c>
      <c r="C69" s="18">
        <f t="shared" si="24"/>
        <v>11323000</v>
      </c>
      <c r="D69" s="13">
        <v>2808380</v>
      </c>
      <c r="E69" s="45">
        <f t="shared" si="25"/>
        <v>4.0318617850860639</v>
      </c>
    </row>
    <row r="70" spans="1:10" x14ac:dyDescent="0.35">
      <c r="A70" s="17">
        <v>2012</v>
      </c>
      <c r="B70" s="34">
        <v>11987</v>
      </c>
      <c r="C70" s="18">
        <f t="shared" si="24"/>
        <v>11987000</v>
      </c>
      <c r="D70" s="13">
        <v>2831639</v>
      </c>
      <c r="E70" s="45">
        <f t="shared" si="25"/>
        <v>4.2332373582932004</v>
      </c>
    </row>
    <row r="71" spans="1:10" x14ac:dyDescent="0.35">
      <c r="A71" s="17">
        <v>2013</v>
      </c>
      <c r="B71" s="34">
        <v>11595</v>
      </c>
      <c r="C71" s="18">
        <f t="shared" si="24"/>
        <v>11595000</v>
      </c>
      <c r="D71" s="13">
        <v>2871585</v>
      </c>
      <c r="E71" s="45">
        <f t="shared" si="25"/>
        <v>4.0378397296266693</v>
      </c>
    </row>
    <row r="72" spans="1:10" x14ac:dyDescent="0.35">
      <c r="A72" s="17">
        <v>2014</v>
      </c>
      <c r="B72" s="34">
        <v>11614</v>
      </c>
      <c r="C72" s="18">
        <f t="shared" si="24"/>
        <v>11614000</v>
      </c>
      <c r="D72" s="13">
        <v>2947862</v>
      </c>
      <c r="E72" s="45">
        <f t="shared" si="25"/>
        <v>3.9398045091663043</v>
      </c>
    </row>
    <row r="73" spans="1:10" x14ac:dyDescent="0.35">
      <c r="A73" s="17">
        <v>2015</v>
      </c>
      <c r="B73" s="34">
        <v>10996</v>
      </c>
      <c r="C73" s="18">
        <f t="shared" si="24"/>
        <v>10996000</v>
      </c>
      <c r="D73" s="13">
        <v>2926644</v>
      </c>
      <c r="E73" s="45">
        <f t="shared" si="25"/>
        <v>3.7572044977113719</v>
      </c>
    </row>
    <row r="74" spans="1:10" x14ac:dyDescent="0.35">
      <c r="A74" s="17">
        <v>2016</v>
      </c>
      <c r="B74" s="34">
        <v>11059</v>
      </c>
      <c r="C74" s="18">
        <f t="shared" si="24"/>
        <v>11059000</v>
      </c>
      <c r="D74" s="13">
        <v>2895573</v>
      </c>
      <c r="E74" s="45">
        <f t="shared" si="25"/>
        <v>3.8192786021972163</v>
      </c>
    </row>
    <row r="75" spans="1:10" x14ac:dyDescent="0.35">
      <c r="A75" s="17">
        <v>2017</v>
      </c>
      <c r="B75" s="34">
        <v>11956</v>
      </c>
      <c r="C75" s="18">
        <f t="shared" si="24"/>
        <v>11956000</v>
      </c>
      <c r="D75" s="13">
        <v>2859077</v>
      </c>
      <c r="E75" s="45">
        <f t="shared" si="25"/>
        <v>4.1817691513729782</v>
      </c>
    </row>
    <row r="76" spans="1:10" x14ac:dyDescent="0.35">
      <c r="A76" s="17">
        <v>2018</v>
      </c>
      <c r="B76" s="34">
        <v>12365</v>
      </c>
      <c r="C76" s="18">
        <f t="shared" si="24"/>
        <v>12365000</v>
      </c>
      <c r="D76" s="13">
        <v>2826200</v>
      </c>
      <c r="E76" s="45">
        <f t="shared" si="25"/>
        <v>4.3751326870002121</v>
      </c>
    </row>
    <row r="77" spans="1:10" x14ac:dyDescent="0.35">
      <c r="A77" s="17">
        <v>2019</v>
      </c>
      <c r="B77" s="34">
        <v>12458</v>
      </c>
      <c r="C77" s="18">
        <f t="shared" si="24"/>
        <v>12458000</v>
      </c>
      <c r="D77" s="13">
        <v>2812200</v>
      </c>
      <c r="E77" s="45">
        <f t="shared" si="25"/>
        <v>4.4299836426996659</v>
      </c>
    </row>
    <row r="78" spans="1:10" x14ac:dyDescent="0.35">
      <c r="A78" s="17">
        <v>2020</v>
      </c>
      <c r="B78" s="34">
        <v>11413</v>
      </c>
      <c r="C78" s="18">
        <f t="shared" si="24"/>
        <v>11413000</v>
      </c>
      <c r="D78" s="13">
        <v>2809977</v>
      </c>
      <c r="E78" s="45">
        <f t="shared" si="25"/>
        <v>4.0615990807042195</v>
      </c>
    </row>
    <row r="79" spans="1:10" x14ac:dyDescent="0.35">
      <c r="A79" s="17">
        <v>2021</v>
      </c>
      <c r="B79" s="34">
        <v>12403</v>
      </c>
      <c r="C79" s="18">
        <f t="shared" si="24"/>
        <v>12403000</v>
      </c>
      <c r="D79" s="13">
        <v>2810761</v>
      </c>
      <c r="E79" s="45">
        <f t="shared" si="25"/>
        <v>4.4126839670822244</v>
      </c>
    </row>
    <row r="80" spans="1:10" x14ac:dyDescent="0.35">
      <c r="A80" s="17">
        <v>2022</v>
      </c>
      <c r="B80" s="34">
        <v>10708</v>
      </c>
      <c r="C80" s="18">
        <f t="shared" si="24"/>
        <v>10708000</v>
      </c>
      <c r="D80" s="13">
        <v>2805998</v>
      </c>
      <c r="E80" s="45">
        <f t="shared" si="25"/>
        <v>3.8161110592381036</v>
      </c>
      <c r="J80" s="7"/>
    </row>
    <row r="81" spans="1:8" x14ac:dyDescent="0.35">
      <c r="A81" s="17">
        <v>2023</v>
      </c>
      <c r="B81" s="34">
        <v>10160</v>
      </c>
      <c r="C81" s="18">
        <f t="shared" si="24"/>
        <v>10160000</v>
      </c>
      <c r="D81" s="13">
        <v>2857279</v>
      </c>
      <c r="E81" s="45">
        <f t="shared" si="25"/>
        <v>3.5558305646735935</v>
      </c>
      <c r="F81" s="32">
        <f>(E81/E77)^(1/5)-1</f>
        <v>-4.3009146048279545E-2</v>
      </c>
    </row>
    <row r="82" spans="1:8" x14ac:dyDescent="0.35">
      <c r="A82" s="17">
        <v>2024</v>
      </c>
      <c r="B82" s="34">
        <v>10932</v>
      </c>
      <c r="C82" s="18">
        <f t="shared" ref="C82:C108" si="26">D82*E82</f>
        <v>10261739.424116442</v>
      </c>
      <c r="D82" s="13">
        <v>2885891</v>
      </c>
      <c r="E82" s="45">
        <f t="shared" ref="E82:E108" si="27">E81</f>
        <v>3.5558305646735935</v>
      </c>
      <c r="F82" s="32">
        <f>E81*(1+F81)</f>
        <v>3.4028973285946105</v>
      </c>
    </row>
    <row r="83" spans="1:8" x14ac:dyDescent="0.35">
      <c r="A83" s="17">
        <v>2025</v>
      </c>
      <c r="B83" s="18">
        <f t="shared" ref="B83:B108" si="28">C83/1000</f>
        <v>10278.711403401629</v>
      </c>
      <c r="C83" s="18">
        <f t="shared" si="26"/>
        <v>10278711.403401628</v>
      </c>
      <c r="D83" s="13">
        <v>2890664</v>
      </c>
      <c r="E83" s="45">
        <f t="shared" si="27"/>
        <v>3.5558305646735935</v>
      </c>
      <c r="F83" s="32">
        <f t="shared" ref="F83:F108" si="29">F82*(1+F$81)</f>
        <v>3.2565416204017845</v>
      </c>
      <c r="H83" s="23" t="s">
        <v>138</v>
      </c>
    </row>
    <row r="84" spans="1:8" x14ac:dyDescent="0.35">
      <c r="A84" s="17">
        <v>2026</v>
      </c>
      <c r="B84" s="18">
        <f t="shared" si="28"/>
        <v>10265.266808036597</v>
      </c>
      <c r="C84" s="18">
        <f t="shared" si="26"/>
        <v>10265266.808036597</v>
      </c>
      <c r="D84" s="13">
        <v>2886883</v>
      </c>
      <c r="E84" s="45">
        <f t="shared" si="27"/>
        <v>3.5558305646735935</v>
      </c>
      <c r="F84" s="32">
        <f t="shared" si="29"/>
        <v>3.1164805462376233</v>
      </c>
    </row>
    <row r="85" spans="1:8" x14ac:dyDescent="0.35">
      <c r="A85" s="17">
        <v>2027</v>
      </c>
      <c r="B85" s="18">
        <f t="shared" si="28"/>
        <v>10236.400575512576</v>
      </c>
      <c r="C85" s="18">
        <f t="shared" si="26"/>
        <v>10236400.575512577</v>
      </c>
      <c r="D85" s="13">
        <v>2878765</v>
      </c>
      <c r="E85" s="45">
        <f t="shared" si="27"/>
        <v>3.5558305646735935</v>
      </c>
      <c r="F85" s="32">
        <f t="shared" si="29"/>
        <v>2.9824433792678673</v>
      </c>
    </row>
    <row r="86" spans="1:8" x14ac:dyDescent="0.35">
      <c r="A86" s="17">
        <v>2028</v>
      </c>
      <c r="B86" s="18">
        <f t="shared" si="28"/>
        <v>10210.702588021681</v>
      </c>
      <c r="C86" s="18">
        <f t="shared" si="26"/>
        <v>10210702.588021681</v>
      </c>
      <c r="D86" s="13">
        <v>2871538</v>
      </c>
      <c r="E86" s="45">
        <f t="shared" si="27"/>
        <v>3.5558305646735935</v>
      </c>
      <c r="F86" s="32">
        <f t="shared" si="29"/>
        <v>2.8541710363882111</v>
      </c>
    </row>
    <row r="87" spans="1:8" x14ac:dyDescent="0.35">
      <c r="A87" s="17">
        <v>2029</v>
      </c>
      <c r="B87" s="18">
        <f t="shared" si="28"/>
        <v>10181.633673155475</v>
      </c>
      <c r="C87" s="18">
        <f t="shared" si="26"/>
        <v>10181633.673155475</v>
      </c>
      <c r="D87" s="13">
        <v>2863363</v>
      </c>
      <c r="E87" s="45">
        <f t="shared" si="27"/>
        <v>3.5558305646735935</v>
      </c>
      <c r="F87" s="32">
        <f t="shared" si="29"/>
        <v>2.7314155774374211</v>
      </c>
    </row>
    <row r="88" spans="1:8" x14ac:dyDescent="0.35">
      <c r="A88" s="17">
        <v>2030</v>
      </c>
      <c r="B88" s="18">
        <f t="shared" si="28"/>
        <v>10149.112046810969</v>
      </c>
      <c r="C88" s="18">
        <f t="shared" si="26"/>
        <v>10149112.04681097</v>
      </c>
      <c r="D88" s="13">
        <v>2854217</v>
      </c>
      <c r="E88" s="45">
        <f t="shared" si="27"/>
        <v>3.5558305646735935</v>
      </c>
      <c r="F88" s="32">
        <f t="shared" si="29"/>
        <v>2.6139397259488693</v>
      </c>
    </row>
    <row r="89" spans="1:8" x14ac:dyDescent="0.35">
      <c r="A89" s="17">
        <v>2031</v>
      </c>
      <c r="B89" s="18">
        <f t="shared" si="28"/>
        <v>10113.031034071228</v>
      </c>
      <c r="C89" s="18">
        <f t="shared" si="26"/>
        <v>10113031.034071228</v>
      </c>
      <c r="D89" s="13">
        <v>2844070</v>
      </c>
      <c r="E89" s="45">
        <f t="shared" si="27"/>
        <v>3.5558305646735935</v>
      </c>
      <c r="F89" s="32">
        <f t="shared" si="29"/>
        <v>2.5015164105141343</v>
      </c>
    </row>
    <row r="90" spans="1:8" x14ac:dyDescent="0.35">
      <c r="A90" s="17">
        <v>2032</v>
      </c>
      <c r="B90" s="18">
        <f t="shared" si="28"/>
        <v>10077.568735849738</v>
      </c>
      <c r="C90" s="18">
        <f t="shared" si="26"/>
        <v>10077568.735849738</v>
      </c>
      <c r="D90" s="13">
        <v>2834097</v>
      </c>
      <c r="E90" s="45">
        <f t="shared" si="27"/>
        <v>3.5558305646735935</v>
      </c>
      <c r="F90" s="32">
        <f t="shared" si="29"/>
        <v>2.3939283258721638</v>
      </c>
    </row>
    <row r="91" spans="1:8" x14ac:dyDescent="0.35">
      <c r="A91" s="17">
        <v>2033</v>
      </c>
      <c r="B91" s="18">
        <f t="shared" si="28"/>
        <v>10042.757154621582</v>
      </c>
      <c r="C91" s="18">
        <f t="shared" si="26"/>
        <v>10042757.154621582</v>
      </c>
      <c r="D91" s="13">
        <v>2824307</v>
      </c>
      <c r="E91" s="45">
        <f t="shared" si="27"/>
        <v>3.5558305646735935</v>
      </c>
      <c r="F91" s="32">
        <f t="shared" si="29"/>
        <v>2.2909675128756146</v>
      </c>
    </row>
    <row r="92" spans="1:8" x14ac:dyDescent="0.35">
      <c r="A92" s="17">
        <v>2034</v>
      </c>
      <c r="B92" s="18">
        <f t="shared" si="28"/>
        <v>10008.745635270479</v>
      </c>
      <c r="C92" s="18">
        <f t="shared" si="26"/>
        <v>10008745.63527048</v>
      </c>
      <c r="D92" s="13">
        <v>2814742</v>
      </c>
      <c r="E92" s="45">
        <f t="shared" si="27"/>
        <v>3.5558305646735935</v>
      </c>
      <c r="F92" s="32">
        <f t="shared" si="29"/>
        <v>2.1924349565224834</v>
      </c>
    </row>
    <row r="93" spans="1:8" x14ac:dyDescent="0.35">
      <c r="A93" s="17">
        <v>2035</v>
      </c>
      <c r="B93" s="18">
        <f t="shared" si="28"/>
        <v>9975.6124060688526</v>
      </c>
      <c r="C93" s="18">
        <f t="shared" si="26"/>
        <v>9975612.4060688522</v>
      </c>
      <c r="D93" s="13">
        <v>2805424</v>
      </c>
      <c r="E93" s="45">
        <f t="shared" si="27"/>
        <v>3.5558305646735935</v>
      </c>
      <c r="F93" s="32">
        <f t="shared" si="29"/>
        <v>2.0981402012760544</v>
      </c>
    </row>
    <row r="94" spans="1:8" x14ac:dyDescent="0.35">
      <c r="A94" s="17">
        <v>2036</v>
      </c>
      <c r="B94" s="18">
        <f t="shared" si="28"/>
        <v>9943.4250277974243</v>
      </c>
      <c r="C94" s="18">
        <f t="shared" si="26"/>
        <v>9943425.0277974252</v>
      </c>
      <c r="D94" s="13">
        <v>2796372</v>
      </c>
      <c r="E94" s="45">
        <f t="shared" si="27"/>
        <v>3.5558305646735935</v>
      </c>
      <c r="F94" s="32">
        <f t="shared" si="29"/>
        <v>2.0079009829296059</v>
      </c>
    </row>
    <row r="95" spans="1:8" x14ac:dyDescent="0.35">
      <c r="A95" s="17">
        <v>2037</v>
      </c>
      <c r="B95" s="18">
        <f t="shared" si="28"/>
        <v>9912.1408304894267</v>
      </c>
      <c r="C95" s="18">
        <f t="shared" si="26"/>
        <v>9912140.8304894269</v>
      </c>
      <c r="D95" s="13">
        <v>2787574</v>
      </c>
      <c r="E95" s="45">
        <f t="shared" si="27"/>
        <v>3.5558305646735935</v>
      </c>
      <c r="F95" s="32">
        <f t="shared" si="29"/>
        <v>1.9215428763043025</v>
      </c>
    </row>
    <row r="96" spans="1:8" x14ac:dyDescent="0.35">
      <c r="A96" s="17">
        <v>2038</v>
      </c>
      <c r="B96" s="18">
        <f t="shared" si="28"/>
        <v>9881.923382350833</v>
      </c>
      <c r="C96" s="18">
        <f t="shared" si="26"/>
        <v>9881923.3823508322</v>
      </c>
      <c r="D96" s="13">
        <v>2779076</v>
      </c>
      <c r="E96" s="45">
        <f t="shared" si="27"/>
        <v>3.5558305646735935</v>
      </c>
      <c r="F96" s="32">
        <f t="shared" si="29"/>
        <v>1.8388989580992996</v>
      </c>
    </row>
    <row r="97" spans="1:6" x14ac:dyDescent="0.35">
      <c r="A97" s="17">
        <v>2039</v>
      </c>
      <c r="B97" s="18">
        <f t="shared" si="28"/>
        <v>9852.5166635809801</v>
      </c>
      <c r="C97" s="18">
        <f t="shared" si="26"/>
        <v>9852516.6635809802</v>
      </c>
      <c r="D97" s="13">
        <v>2770806</v>
      </c>
      <c r="E97" s="45">
        <f t="shared" si="27"/>
        <v>3.5558305646735935</v>
      </c>
      <c r="F97" s="32">
        <f t="shared" si="29"/>
        <v>1.7598094842423777</v>
      </c>
    </row>
    <row r="98" spans="1:6" x14ac:dyDescent="0.35">
      <c r="A98" s="17">
        <v>2040</v>
      </c>
      <c r="B98" s="18">
        <f t="shared" si="28"/>
        <v>9823.8033317712416</v>
      </c>
      <c r="C98" s="18">
        <f t="shared" si="26"/>
        <v>9823803.3317712415</v>
      </c>
      <c r="D98" s="13">
        <v>2762731</v>
      </c>
      <c r="E98" s="45">
        <f t="shared" si="27"/>
        <v>3.5558305646735935</v>
      </c>
      <c r="F98" s="32">
        <f t="shared" si="29"/>
        <v>1.6841215811174497</v>
      </c>
    </row>
    <row r="99" spans="1:6" x14ac:dyDescent="0.35">
      <c r="A99" s="17">
        <v>2041</v>
      </c>
      <c r="B99" s="18">
        <f t="shared" si="28"/>
        <v>9795.6375978684609</v>
      </c>
      <c r="C99" s="18">
        <f t="shared" si="26"/>
        <v>9795637.5978684612</v>
      </c>
      <c r="D99" s="13">
        <v>2754810</v>
      </c>
      <c r="E99" s="45">
        <f t="shared" si="27"/>
        <v>3.5558305646735935</v>
      </c>
      <c r="F99" s="32">
        <f t="shared" si="29"/>
        <v>1.6116889500721099</v>
      </c>
    </row>
    <row r="100" spans="1:6" x14ac:dyDescent="0.35">
      <c r="A100" s="17">
        <v>2042</v>
      </c>
      <c r="B100" s="18">
        <f t="shared" si="28"/>
        <v>9767.9696802447361</v>
      </c>
      <c r="C100" s="18">
        <f t="shared" si="26"/>
        <v>9767969.6802447364</v>
      </c>
      <c r="D100" s="13">
        <v>2747029</v>
      </c>
      <c r="E100" s="45">
        <f t="shared" si="27"/>
        <v>3.5558305646735935</v>
      </c>
      <c r="F100" s="32">
        <f t="shared" si="29"/>
        <v>1.5423715846340602</v>
      </c>
    </row>
    <row r="101" spans="1:6" x14ac:dyDescent="0.35">
      <c r="A101" s="17">
        <v>2043</v>
      </c>
      <c r="B101" s="18">
        <f t="shared" si="28"/>
        <v>9740.5080007937631</v>
      </c>
      <c r="C101" s="18">
        <f t="shared" si="26"/>
        <v>9740508.0007937625</v>
      </c>
      <c r="D101" s="13">
        <v>2739306</v>
      </c>
      <c r="E101" s="45">
        <f t="shared" si="27"/>
        <v>3.5558305646735935</v>
      </c>
      <c r="F101" s="32">
        <f t="shared" si="29"/>
        <v>1.4760354998898175</v>
      </c>
    </row>
    <row r="102" spans="1:6" x14ac:dyDescent="0.35">
      <c r="A102" s="17">
        <v>2044</v>
      </c>
      <c r="B102" s="18">
        <f t="shared" si="28"/>
        <v>9713.0214305288355</v>
      </c>
      <c r="C102" s="18">
        <f t="shared" si="26"/>
        <v>9713021.4305288363</v>
      </c>
      <c r="D102" s="13">
        <v>2731576</v>
      </c>
      <c r="E102" s="45">
        <f t="shared" si="27"/>
        <v>3.5558305646735935</v>
      </c>
      <c r="F102" s="32">
        <f t="shared" si="29"/>
        <v>1.4125524735026112</v>
      </c>
    </row>
    <row r="103" spans="1:6" x14ac:dyDescent="0.35">
      <c r="A103" s="17">
        <v>2045</v>
      </c>
      <c r="B103" s="18">
        <f t="shared" si="28"/>
        <v>9685.3748478884991</v>
      </c>
      <c r="C103" s="18">
        <f t="shared" si="26"/>
        <v>9685374.8478884995</v>
      </c>
      <c r="D103" s="13">
        <v>2723801</v>
      </c>
      <c r="E103" s="45">
        <f t="shared" si="27"/>
        <v>3.5558305646735935</v>
      </c>
      <c r="F103" s="32">
        <f t="shared" si="29"/>
        <v>1.3517997978688787</v>
      </c>
    </row>
    <row r="104" spans="1:6" x14ac:dyDescent="0.35">
      <c r="A104" s="17">
        <v>2046</v>
      </c>
      <c r="B104" s="18">
        <f t="shared" si="28"/>
        <v>9657.1273298827309</v>
      </c>
      <c r="C104" s="18">
        <f t="shared" si="26"/>
        <v>9657127.3298827317</v>
      </c>
      <c r="D104" s="13">
        <v>2715857</v>
      </c>
      <c r="E104" s="45">
        <f t="shared" si="27"/>
        <v>3.5558305646735935</v>
      </c>
      <c r="F104" s="32">
        <f t="shared" si="29"/>
        <v>1.2936600429343013</v>
      </c>
    </row>
    <row r="105" spans="1:6" x14ac:dyDescent="0.35">
      <c r="A105" s="17">
        <v>2047</v>
      </c>
      <c r="B105" s="18">
        <f t="shared" si="28"/>
        <v>9627.9055143022451</v>
      </c>
      <c r="C105" s="18">
        <f t="shared" si="26"/>
        <v>9627905.5143022444</v>
      </c>
      <c r="D105" s="13">
        <v>2707639</v>
      </c>
      <c r="E105" s="45">
        <f t="shared" si="27"/>
        <v>3.5558305646735935</v>
      </c>
      <c r="F105" s="32">
        <f t="shared" si="29"/>
        <v>1.2380208292109163</v>
      </c>
    </row>
    <row r="106" spans="1:6" x14ac:dyDescent="0.35">
      <c r="A106" s="17">
        <v>2048</v>
      </c>
      <c r="B106" s="18">
        <f t="shared" si="28"/>
        <v>9597.2258081902401</v>
      </c>
      <c r="C106" s="18">
        <f t="shared" si="26"/>
        <v>9597225.8081902396</v>
      </c>
      <c r="D106" s="13">
        <v>2699011</v>
      </c>
      <c r="E106" s="45">
        <f t="shared" si="27"/>
        <v>3.5558305646735935</v>
      </c>
      <c r="F106" s="32">
        <f t="shared" si="29"/>
        <v>1.1847746105565717</v>
      </c>
    </row>
    <row r="107" spans="1:6" x14ac:dyDescent="0.35">
      <c r="A107" s="17">
        <v>2049</v>
      </c>
      <c r="B107" s="18">
        <f t="shared" si="28"/>
        <v>9564.8001892709817</v>
      </c>
      <c r="C107" s="18">
        <f t="shared" si="26"/>
        <v>9564800.1892709825</v>
      </c>
      <c r="D107" s="13">
        <v>2689892</v>
      </c>
      <c r="E107" s="45">
        <f t="shared" si="27"/>
        <v>3.5558305646735935</v>
      </c>
      <c r="F107" s="32">
        <f t="shared" si="29"/>
        <v>1.1338184662968507</v>
      </c>
    </row>
    <row r="108" spans="1:6" x14ac:dyDescent="0.35">
      <c r="A108" s="17">
        <v>2050</v>
      </c>
      <c r="B108" s="18">
        <f t="shared" si="28"/>
        <v>9530.4544218468</v>
      </c>
      <c r="C108" s="18">
        <f t="shared" si="26"/>
        <v>9530454.4218467996</v>
      </c>
      <c r="D108" s="13">
        <v>2680233</v>
      </c>
      <c r="E108" s="45">
        <f t="shared" si="27"/>
        <v>3.5558305646735935</v>
      </c>
      <c r="F108" s="32">
        <f t="shared" si="29"/>
        <v>1.0850539022876531</v>
      </c>
    </row>
    <row r="110" spans="1:6" ht="32" customHeight="1" x14ac:dyDescent="0.35">
      <c r="A110" s="11" t="s">
        <v>134</v>
      </c>
      <c r="B110" s="11" t="s">
        <v>135</v>
      </c>
      <c r="C110" s="11" t="s">
        <v>131</v>
      </c>
      <c r="D110" s="11" t="s">
        <v>132</v>
      </c>
      <c r="E110" s="11" t="s">
        <v>129</v>
      </c>
    </row>
    <row r="111" spans="1:6" x14ac:dyDescent="0.35">
      <c r="A111" s="17">
        <v>2000</v>
      </c>
      <c r="B111" s="34">
        <v>21284</v>
      </c>
      <c r="C111" s="18">
        <f t="shared" ref="C111:C134" si="30">B111*1000</f>
        <v>21284000</v>
      </c>
      <c r="D111" s="13">
        <v>3697838</v>
      </c>
      <c r="E111" s="45">
        <f t="shared" ref="E111:E134" si="31">C111/D111</f>
        <v>5.7557956838563511</v>
      </c>
    </row>
    <row r="112" spans="1:6" x14ac:dyDescent="0.35">
      <c r="A112" s="17">
        <v>2001</v>
      </c>
      <c r="B112" s="34">
        <v>21954</v>
      </c>
      <c r="C112" s="18">
        <f t="shared" si="30"/>
        <v>21954000</v>
      </c>
      <c r="D112" s="13">
        <v>3499536</v>
      </c>
      <c r="E112" s="45">
        <f t="shared" si="31"/>
        <v>6.2734031025827424</v>
      </c>
    </row>
    <row r="113" spans="1:5" x14ac:dyDescent="0.35">
      <c r="A113" s="17">
        <v>2002</v>
      </c>
      <c r="B113" s="34">
        <v>22423</v>
      </c>
      <c r="C113" s="18">
        <f t="shared" si="30"/>
        <v>22423000</v>
      </c>
      <c r="D113" s="13">
        <v>2937253</v>
      </c>
      <c r="E113" s="45">
        <f t="shared" si="31"/>
        <v>7.6340036081331775</v>
      </c>
    </row>
    <row r="114" spans="1:5" x14ac:dyDescent="0.35">
      <c r="A114" s="17">
        <v>2003</v>
      </c>
      <c r="B114" s="34">
        <v>23074</v>
      </c>
      <c r="C114" s="18">
        <f t="shared" si="30"/>
        <v>23074000</v>
      </c>
      <c r="D114" s="13">
        <v>2911109</v>
      </c>
      <c r="E114" s="45">
        <f t="shared" si="31"/>
        <v>7.9261889541064932</v>
      </c>
    </row>
    <row r="115" spans="1:5" x14ac:dyDescent="0.35">
      <c r="A115" s="17">
        <v>2004</v>
      </c>
      <c r="B115" s="34">
        <v>23524</v>
      </c>
      <c r="C115" s="18">
        <f t="shared" si="30"/>
        <v>23524000</v>
      </c>
      <c r="D115" s="13">
        <v>2877325</v>
      </c>
      <c r="E115" s="45">
        <f t="shared" si="31"/>
        <v>8.1756492575569322</v>
      </c>
    </row>
    <row r="116" spans="1:5" x14ac:dyDescent="0.35">
      <c r="A116" s="17">
        <v>2005</v>
      </c>
      <c r="B116" s="34">
        <v>24075</v>
      </c>
      <c r="C116" s="18">
        <f t="shared" si="30"/>
        <v>24075000</v>
      </c>
      <c r="D116" s="13">
        <v>2842639</v>
      </c>
      <c r="E116" s="45">
        <f t="shared" si="31"/>
        <v>8.4692428408953795</v>
      </c>
    </row>
    <row r="117" spans="1:5" x14ac:dyDescent="0.35">
      <c r="A117" s="17">
        <v>2006</v>
      </c>
      <c r="B117" s="34">
        <v>25309</v>
      </c>
      <c r="C117" s="18">
        <f t="shared" si="30"/>
        <v>25309000</v>
      </c>
      <c r="D117" s="13">
        <v>2819200</v>
      </c>
      <c r="E117" s="45">
        <f t="shared" si="31"/>
        <v>8.9773694665153236</v>
      </c>
    </row>
    <row r="118" spans="1:5" x14ac:dyDescent="0.35">
      <c r="A118" s="17">
        <v>2007</v>
      </c>
      <c r="B118" s="34">
        <v>24811</v>
      </c>
      <c r="C118" s="18">
        <f t="shared" si="30"/>
        <v>24811000</v>
      </c>
      <c r="D118" s="13">
        <v>2811089</v>
      </c>
      <c r="E118" s="45">
        <f t="shared" si="31"/>
        <v>8.8261168536463988</v>
      </c>
    </row>
    <row r="119" spans="1:5" x14ac:dyDescent="0.35">
      <c r="A119" s="17">
        <v>2008</v>
      </c>
      <c r="B119" s="34">
        <v>25068</v>
      </c>
      <c r="C119" s="18">
        <f t="shared" si="30"/>
        <v>25068000</v>
      </c>
      <c r="D119" s="13">
        <v>2810369</v>
      </c>
      <c r="E119" s="45">
        <f t="shared" si="31"/>
        <v>8.9198251190502038</v>
      </c>
    </row>
    <row r="120" spans="1:5" x14ac:dyDescent="0.35">
      <c r="A120" s="17">
        <v>2009</v>
      </c>
      <c r="B120" s="34">
        <v>25129</v>
      </c>
      <c r="C120" s="18">
        <f t="shared" si="30"/>
        <v>25129000</v>
      </c>
      <c r="D120" s="13">
        <v>2808380</v>
      </c>
      <c r="E120" s="45">
        <f t="shared" si="31"/>
        <v>8.9478631809085662</v>
      </c>
    </row>
    <row r="121" spans="1:5" x14ac:dyDescent="0.35">
      <c r="A121" s="17">
        <v>2010</v>
      </c>
      <c r="B121" s="34">
        <v>25530</v>
      </c>
      <c r="C121" s="18">
        <f t="shared" si="30"/>
        <v>25530000</v>
      </c>
      <c r="D121" s="13">
        <v>2810369</v>
      </c>
      <c r="E121" s="45">
        <f t="shared" si="31"/>
        <v>9.0842163431207794</v>
      </c>
    </row>
    <row r="122" spans="1:5" x14ac:dyDescent="0.35">
      <c r="A122" s="17">
        <v>2011</v>
      </c>
      <c r="B122" s="34">
        <v>24618</v>
      </c>
      <c r="C122" s="18">
        <f t="shared" si="30"/>
        <v>24618000</v>
      </c>
      <c r="D122" s="13">
        <v>2808380</v>
      </c>
      <c r="E122" s="45">
        <f t="shared" si="31"/>
        <v>8.7659077475270433</v>
      </c>
    </row>
    <row r="123" spans="1:5" x14ac:dyDescent="0.35">
      <c r="A123" s="17">
        <v>2012</v>
      </c>
      <c r="B123" s="34">
        <v>24968</v>
      </c>
      <c r="C123" s="18">
        <f t="shared" si="30"/>
        <v>24968000</v>
      </c>
      <c r="D123" s="13">
        <v>2831639</v>
      </c>
      <c r="E123" s="45">
        <f t="shared" si="31"/>
        <v>8.8175081639997188</v>
      </c>
    </row>
    <row r="124" spans="1:5" x14ac:dyDescent="0.35">
      <c r="A124" s="17">
        <v>2013</v>
      </c>
      <c r="B124" s="34">
        <v>23980</v>
      </c>
      <c r="C124" s="18">
        <f t="shared" si="30"/>
        <v>23980000</v>
      </c>
      <c r="D124" s="13">
        <v>2871585</v>
      </c>
      <c r="E124" s="45">
        <f t="shared" si="31"/>
        <v>8.3507888500601588</v>
      </c>
    </row>
    <row r="125" spans="1:5" x14ac:dyDescent="0.35">
      <c r="A125" s="17">
        <v>2014</v>
      </c>
      <c r="B125" s="34">
        <v>23118</v>
      </c>
      <c r="C125" s="18">
        <f t="shared" si="30"/>
        <v>23118000</v>
      </c>
      <c r="D125" s="13">
        <v>2947862</v>
      </c>
      <c r="E125" s="45">
        <f t="shared" si="31"/>
        <v>7.8422938387210799</v>
      </c>
    </row>
    <row r="126" spans="1:5" x14ac:dyDescent="0.35">
      <c r="A126" s="17">
        <v>2015</v>
      </c>
      <c r="B126" s="34">
        <v>22505</v>
      </c>
      <c r="C126" s="18">
        <f t="shared" si="30"/>
        <v>22505000</v>
      </c>
      <c r="D126" s="13">
        <v>2926644</v>
      </c>
      <c r="E126" s="45">
        <f t="shared" si="31"/>
        <v>7.6896950910325961</v>
      </c>
    </row>
    <row r="127" spans="1:5" x14ac:dyDescent="0.35">
      <c r="A127" s="17">
        <v>2016</v>
      </c>
      <c r="B127" s="34">
        <v>23668</v>
      </c>
      <c r="C127" s="18">
        <f t="shared" si="30"/>
        <v>23668000</v>
      </c>
      <c r="D127" s="13">
        <v>2895573</v>
      </c>
      <c r="E127" s="45">
        <f t="shared" si="31"/>
        <v>8.1738571260334307</v>
      </c>
    </row>
    <row r="128" spans="1:5" x14ac:dyDescent="0.35">
      <c r="A128" s="17">
        <v>2017</v>
      </c>
      <c r="B128" s="34">
        <v>24307</v>
      </c>
      <c r="C128" s="18">
        <f t="shared" si="30"/>
        <v>24307000</v>
      </c>
      <c r="D128" s="13">
        <v>2859077</v>
      </c>
      <c r="E128" s="45">
        <f t="shared" si="31"/>
        <v>8.501694777720223</v>
      </c>
    </row>
    <row r="129" spans="1:8" x14ac:dyDescent="0.35">
      <c r="A129" s="17">
        <v>2018</v>
      </c>
      <c r="B129" s="34">
        <v>25162</v>
      </c>
      <c r="C129" s="18">
        <f t="shared" si="30"/>
        <v>25162000</v>
      </c>
      <c r="D129" s="13">
        <v>2826200</v>
      </c>
      <c r="E129" s="45">
        <f t="shared" si="31"/>
        <v>8.9031207982449931</v>
      </c>
    </row>
    <row r="130" spans="1:8" x14ac:dyDescent="0.35">
      <c r="A130" s="17">
        <v>2019</v>
      </c>
      <c r="B130" s="34">
        <v>24129</v>
      </c>
      <c r="C130" s="18">
        <f t="shared" si="30"/>
        <v>24129000</v>
      </c>
      <c r="D130" s="13">
        <v>2812200</v>
      </c>
      <c r="E130" s="45">
        <f t="shared" si="31"/>
        <v>8.5801152122893107</v>
      </c>
    </row>
    <row r="131" spans="1:8" x14ac:dyDescent="0.35">
      <c r="A131" s="17">
        <v>2020</v>
      </c>
      <c r="B131" s="34">
        <v>23374</v>
      </c>
      <c r="C131" s="18">
        <f t="shared" si="30"/>
        <v>23374000</v>
      </c>
      <c r="D131" s="13">
        <v>2809977</v>
      </c>
      <c r="E131" s="45">
        <f t="shared" si="31"/>
        <v>8.3182175512468604</v>
      </c>
    </row>
    <row r="132" spans="1:8" x14ac:dyDescent="0.35">
      <c r="A132" s="17">
        <v>2021</v>
      </c>
      <c r="B132" s="34">
        <v>26483</v>
      </c>
      <c r="C132" s="18">
        <f t="shared" si="30"/>
        <v>26483000</v>
      </c>
      <c r="D132" s="13">
        <v>2810761</v>
      </c>
      <c r="E132" s="45">
        <f t="shared" si="31"/>
        <v>9.4220035072352299</v>
      </c>
    </row>
    <row r="133" spans="1:8" x14ac:dyDescent="0.35">
      <c r="A133" s="17">
        <v>2022</v>
      </c>
      <c r="B133" s="34">
        <v>25259</v>
      </c>
      <c r="C133" s="18">
        <f t="shared" si="30"/>
        <v>25259000</v>
      </c>
      <c r="D133" s="13">
        <v>2805998</v>
      </c>
      <c r="E133" s="45">
        <f t="shared" si="31"/>
        <v>9.0017883120372861</v>
      </c>
      <c r="F133" s="38"/>
      <c r="H133" s="23" t="s">
        <v>139</v>
      </c>
    </row>
    <row r="134" spans="1:8" x14ac:dyDescent="0.35">
      <c r="A134" s="17">
        <v>2023</v>
      </c>
      <c r="B134" s="34">
        <v>24837</v>
      </c>
      <c r="C134" s="18">
        <f t="shared" si="30"/>
        <v>24837000</v>
      </c>
      <c r="D134" s="13">
        <v>2857279</v>
      </c>
      <c r="E134" s="45">
        <f t="shared" si="31"/>
        <v>8.6925358006690985</v>
      </c>
      <c r="F134" s="45">
        <f>(E134/E124)^(1/10)-1</f>
        <v>4.0189239021020118E-3</v>
      </c>
    </row>
    <row r="135" spans="1:8" x14ac:dyDescent="0.35">
      <c r="A135" s="17">
        <v>2024</v>
      </c>
      <c r="B135" s="34">
        <v>26278</v>
      </c>
      <c r="C135" s="18">
        <f t="shared" ref="C135:C161" si="32">D135*E135</f>
        <v>25186528.397202048</v>
      </c>
      <c r="D135" s="13">
        <v>2885891</v>
      </c>
      <c r="E135" s="45">
        <f t="shared" ref="E135:E161" si="33">F135</f>
        <v>8.7274704405682844</v>
      </c>
      <c r="F135" s="45">
        <f>E134*(1+F134)</f>
        <v>8.7274704405682844</v>
      </c>
    </row>
    <row r="136" spans="1:8" x14ac:dyDescent="0.35">
      <c r="A136" s="17">
        <v>2025</v>
      </c>
      <c r="B136" s="18">
        <f t="shared" ref="B136:B161" si="34">C136/1000</f>
        <v>25329.574767765178</v>
      </c>
      <c r="C136" s="18">
        <f t="shared" si="32"/>
        <v>25329574.767765179</v>
      </c>
      <c r="D136" s="13">
        <v>2890664</v>
      </c>
      <c r="E136" s="45">
        <f t="shared" si="33"/>
        <v>8.7625454801267733</v>
      </c>
      <c r="F136" s="45">
        <f t="shared" ref="F136:F161" si="35">F135*(1+$F$134)</f>
        <v>8.7625454801267733</v>
      </c>
    </row>
    <row r="137" spans="1:8" x14ac:dyDescent="0.35">
      <c r="A137" s="17">
        <v>2026</v>
      </c>
      <c r="B137" s="18">
        <f t="shared" si="34"/>
        <v>25398.108065059936</v>
      </c>
      <c r="C137" s="18">
        <f t="shared" si="32"/>
        <v>25398108.065059938</v>
      </c>
      <c r="D137" s="13">
        <v>2886883</v>
      </c>
      <c r="E137" s="45">
        <f t="shared" si="33"/>
        <v>8.7977614836001106</v>
      </c>
      <c r="F137" s="45">
        <f t="shared" si="35"/>
        <v>8.7977614836001106</v>
      </c>
    </row>
    <row r="138" spans="1:8" x14ac:dyDescent="0.35">
      <c r="A138" s="17">
        <v>2027</v>
      </c>
      <c r="B138" s="18">
        <f t="shared" si="34"/>
        <v>25428.473868446621</v>
      </c>
      <c r="C138" s="18">
        <f t="shared" si="32"/>
        <v>25428473.868446622</v>
      </c>
      <c r="D138" s="13">
        <v>2878765</v>
      </c>
      <c r="E138" s="45">
        <f t="shared" si="33"/>
        <v>8.8331190175115442</v>
      </c>
      <c r="F138" s="45">
        <f t="shared" si="35"/>
        <v>8.8331190175115442</v>
      </c>
    </row>
    <row r="139" spans="1:8" x14ac:dyDescent="0.35">
      <c r="A139" s="17">
        <v>2028</v>
      </c>
      <c r="B139" s="18">
        <f t="shared" si="34"/>
        <v>25466.575462882167</v>
      </c>
      <c r="C139" s="18">
        <f t="shared" si="32"/>
        <v>25466575.462882169</v>
      </c>
      <c r="D139" s="13">
        <v>2871538</v>
      </c>
      <c r="E139" s="45">
        <f t="shared" si="33"/>
        <v>8.8686186506611335</v>
      </c>
      <c r="F139" s="45">
        <f t="shared" si="35"/>
        <v>8.8686186506611335</v>
      </c>
    </row>
    <row r="140" spans="1:8" x14ac:dyDescent="0.35">
      <c r="A140" s="17">
        <v>2029</v>
      </c>
      <c r="B140" s="18">
        <f t="shared" si="34"/>
        <v>25496.131358414579</v>
      </c>
      <c r="C140" s="18">
        <f t="shared" si="32"/>
        <v>25496131.358414579</v>
      </c>
      <c r="D140" s="13">
        <v>2863363</v>
      </c>
      <c r="E140" s="45">
        <f t="shared" si="33"/>
        <v>8.9042609541349034</v>
      </c>
      <c r="F140" s="45">
        <f t="shared" si="35"/>
        <v>8.9042609541349034</v>
      </c>
    </row>
    <row r="141" spans="1:8" x14ac:dyDescent="0.35">
      <c r="A141" s="17">
        <v>2030</v>
      </c>
      <c r="B141" s="18">
        <f t="shared" si="34"/>
        <v>25516.832704841025</v>
      </c>
      <c r="C141" s="18">
        <f t="shared" si="32"/>
        <v>25516832.704841025</v>
      </c>
      <c r="D141" s="13">
        <v>2854217</v>
      </c>
      <c r="E141" s="45">
        <f t="shared" si="33"/>
        <v>8.9400465013140291</v>
      </c>
      <c r="F141" s="45">
        <f t="shared" si="35"/>
        <v>8.9400465013140291</v>
      </c>
    </row>
    <row r="142" spans="1:8" x14ac:dyDescent="0.35">
      <c r="A142" s="17">
        <v>2031</v>
      </c>
      <c r="B142" s="18">
        <f t="shared" si="34"/>
        <v>25528.303686573028</v>
      </c>
      <c r="C142" s="18">
        <f t="shared" si="32"/>
        <v>25528303.686573029</v>
      </c>
      <c r="D142" s="13">
        <v>2844070</v>
      </c>
      <c r="E142" s="45">
        <f t="shared" si="33"/>
        <v>8.9759758678840633</v>
      </c>
      <c r="F142" s="45">
        <f t="shared" si="35"/>
        <v>8.9759758678840633</v>
      </c>
    </row>
    <row r="143" spans="1:8" x14ac:dyDescent="0.35">
      <c r="A143" s="17">
        <v>2032</v>
      </c>
      <c r="B143" s="18">
        <f t="shared" si="34"/>
        <v>25541.022825460735</v>
      </c>
      <c r="C143" s="18">
        <f t="shared" si="32"/>
        <v>25541022.825460736</v>
      </c>
      <c r="D143" s="13">
        <v>2834097</v>
      </c>
      <c r="E143" s="45">
        <f t="shared" si="33"/>
        <v>9.0120496318441941</v>
      </c>
      <c r="F143" s="45">
        <f t="shared" si="35"/>
        <v>9.0120496318441941</v>
      </c>
    </row>
    <row r="144" spans="1:8" x14ac:dyDescent="0.35">
      <c r="A144" s="17">
        <v>2033</v>
      </c>
      <c r="B144" s="18">
        <f t="shared" si="34"/>
        <v>25555.087705201382</v>
      </c>
      <c r="C144" s="18">
        <f t="shared" si="32"/>
        <v>25555087.705201384</v>
      </c>
      <c r="D144" s="13">
        <v>2824307</v>
      </c>
      <c r="E144" s="45">
        <f t="shared" si="33"/>
        <v>9.0482683735165423</v>
      </c>
      <c r="F144" s="45">
        <f t="shared" si="35"/>
        <v>9.0482683735165423</v>
      </c>
    </row>
    <row r="145" spans="1:6" x14ac:dyDescent="0.35">
      <c r="A145" s="17">
        <v>2034</v>
      </c>
      <c r="B145" s="18">
        <f t="shared" si="34"/>
        <v>25570.897146458447</v>
      </c>
      <c r="C145" s="18">
        <f t="shared" si="32"/>
        <v>25570897.146458447</v>
      </c>
      <c r="D145" s="13">
        <v>2814742</v>
      </c>
      <c r="E145" s="45">
        <f t="shared" si="33"/>
        <v>9.0846326755555022</v>
      </c>
      <c r="F145" s="45">
        <f t="shared" si="35"/>
        <v>9.0846326755555022</v>
      </c>
    </row>
    <row r="146" spans="1:6" x14ac:dyDescent="0.35">
      <c r="A146" s="17">
        <v>2035</v>
      </c>
      <c r="B146" s="18">
        <f t="shared" si="34"/>
        <v>25588.673824578826</v>
      </c>
      <c r="C146" s="18">
        <f t="shared" si="32"/>
        <v>25588673.824578825</v>
      </c>
      <c r="D146" s="13">
        <v>2805424</v>
      </c>
      <c r="E146" s="45">
        <f t="shared" si="33"/>
        <v>9.1211431229571094</v>
      </c>
      <c r="F146" s="45">
        <f t="shared" si="35"/>
        <v>9.1211431229571094</v>
      </c>
    </row>
    <row r="147" spans="1:6" x14ac:dyDescent="0.35">
      <c r="A147" s="17">
        <v>2036</v>
      </c>
      <c r="B147" s="18">
        <f t="shared" si="34"/>
        <v>25608.616349092146</v>
      </c>
      <c r="C147" s="18">
        <f t="shared" si="32"/>
        <v>25608616.349092145</v>
      </c>
      <c r="D147" s="13">
        <v>2796372</v>
      </c>
      <c r="E147" s="45">
        <f t="shared" si="33"/>
        <v>9.1578003030684556</v>
      </c>
      <c r="F147" s="45">
        <f t="shared" si="35"/>
        <v>9.1578003030684556</v>
      </c>
    </row>
    <row r="148" spans="1:6" x14ac:dyDescent="0.35">
      <c r="A148" s="17">
        <v>2037</v>
      </c>
      <c r="B148" s="18">
        <f t="shared" si="34"/>
        <v>25630.641296357626</v>
      </c>
      <c r="C148" s="18">
        <f t="shared" si="32"/>
        <v>25630641.296357624</v>
      </c>
      <c r="D148" s="13">
        <v>2787574</v>
      </c>
      <c r="E148" s="45">
        <f t="shared" si="33"/>
        <v>9.1946048055971339</v>
      </c>
      <c r="F148" s="45">
        <f t="shared" si="35"/>
        <v>9.1946048055971339</v>
      </c>
    </row>
    <row r="149" spans="1:6" x14ac:dyDescent="0.35">
      <c r="A149" s="17">
        <v>2038</v>
      </c>
      <c r="B149" s="18">
        <f t="shared" si="34"/>
        <v>25655.199120011926</v>
      </c>
      <c r="C149" s="18">
        <f t="shared" si="32"/>
        <v>25655199.120011926</v>
      </c>
      <c r="D149" s="13">
        <v>2779076</v>
      </c>
      <c r="E149" s="45">
        <f t="shared" si="33"/>
        <v>9.2315572226207294</v>
      </c>
      <c r="F149" s="45">
        <f t="shared" si="35"/>
        <v>9.2315572226207294</v>
      </c>
    </row>
    <row r="150" spans="1:6" x14ac:dyDescent="0.35">
      <c r="A150" s="17">
        <v>2039</v>
      </c>
      <c r="B150" s="18">
        <f t="shared" si="34"/>
        <v>25681.65361007964</v>
      </c>
      <c r="C150" s="18">
        <f t="shared" si="32"/>
        <v>25681653.610079639</v>
      </c>
      <c r="D150" s="13">
        <v>2770806</v>
      </c>
      <c r="E150" s="45">
        <f t="shared" si="33"/>
        <v>9.2686581485963426</v>
      </c>
      <c r="F150" s="45">
        <f t="shared" si="35"/>
        <v>9.2686581485963426</v>
      </c>
    </row>
    <row r="151" spans="1:6" x14ac:dyDescent="0.35">
      <c r="A151" s="17">
        <v>2040</v>
      </c>
      <c r="B151" s="18">
        <f t="shared" si="34"/>
        <v>25709.721013062204</v>
      </c>
      <c r="C151" s="18">
        <f t="shared" si="32"/>
        <v>25709721.013062205</v>
      </c>
      <c r="D151" s="13">
        <v>2762731</v>
      </c>
      <c r="E151" s="45">
        <f t="shared" si="33"/>
        <v>9.3059081803701496</v>
      </c>
      <c r="F151" s="45">
        <f t="shared" si="35"/>
        <v>9.3059081803701496</v>
      </c>
    </row>
    <row r="152" spans="1:6" x14ac:dyDescent="0.35">
      <c r="A152" s="17">
        <v>2041</v>
      </c>
      <c r="B152" s="18">
        <f t="shared" si="34"/>
        <v>25739.038083345939</v>
      </c>
      <c r="C152" s="18">
        <f t="shared" si="32"/>
        <v>25739038.083345938</v>
      </c>
      <c r="D152" s="13">
        <v>2754810</v>
      </c>
      <c r="E152" s="45">
        <f t="shared" si="33"/>
        <v>9.3433079171870066</v>
      </c>
      <c r="F152" s="45">
        <f t="shared" si="35"/>
        <v>9.3433079171870066</v>
      </c>
    </row>
    <row r="153" spans="1:6" x14ac:dyDescent="0.35">
      <c r="A153" s="17">
        <v>2042</v>
      </c>
      <c r="B153" s="18">
        <f t="shared" si="34"/>
        <v>25769.488862924005</v>
      </c>
      <c r="C153" s="18">
        <f t="shared" si="32"/>
        <v>25769488.862924006</v>
      </c>
      <c r="D153" s="13">
        <v>2747029</v>
      </c>
      <c r="E153" s="45">
        <f t="shared" si="33"/>
        <v>9.380857960700089</v>
      </c>
      <c r="F153" s="45">
        <f t="shared" si="35"/>
        <v>9.380857960700089</v>
      </c>
    </row>
    <row r="154" spans="1:6" x14ac:dyDescent="0.35">
      <c r="A154" s="17">
        <v>2043</v>
      </c>
      <c r="B154" s="18">
        <f t="shared" si="34"/>
        <v>25800.314947159768</v>
      </c>
      <c r="C154" s="18">
        <f t="shared" si="32"/>
        <v>25800314.947159767</v>
      </c>
      <c r="D154" s="13">
        <v>2739306</v>
      </c>
      <c r="E154" s="45">
        <f t="shared" si="33"/>
        <v>9.4185589149805704</v>
      </c>
      <c r="F154" s="45">
        <f t="shared" si="35"/>
        <v>9.4185589149805704</v>
      </c>
    </row>
    <row r="155" spans="1:6" x14ac:dyDescent="0.35">
      <c r="A155" s="17">
        <v>2044</v>
      </c>
      <c r="B155" s="18">
        <f t="shared" si="34"/>
        <v>25830.906389564811</v>
      </c>
      <c r="C155" s="18">
        <f t="shared" si="32"/>
        <v>25830906.389564812</v>
      </c>
      <c r="D155" s="13">
        <v>2731576</v>
      </c>
      <c r="E155" s="45">
        <f t="shared" si="33"/>
        <v>9.4564113865273427</v>
      </c>
      <c r="F155" s="45">
        <f t="shared" si="35"/>
        <v>9.4564113865273427</v>
      </c>
    </row>
    <row r="156" spans="1:6" x14ac:dyDescent="0.35">
      <c r="A156" s="17">
        <v>2045</v>
      </c>
      <c r="B156" s="18">
        <f t="shared" si="34"/>
        <v>25860.899752389039</v>
      </c>
      <c r="C156" s="18">
        <f t="shared" si="32"/>
        <v>25860899.75238904</v>
      </c>
      <c r="D156" s="13">
        <v>2723801</v>
      </c>
      <c r="E156" s="45">
        <f t="shared" si="33"/>
        <v>9.4944159842767668</v>
      </c>
      <c r="F156" s="45">
        <f t="shared" si="35"/>
        <v>9.4944159842767668</v>
      </c>
    </row>
    <row r="157" spans="1:6" x14ac:dyDescent="0.35">
      <c r="A157" s="17">
        <v>2046</v>
      </c>
      <c r="B157" s="18">
        <f t="shared" si="34"/>
        <v>25889.105978082778</v>
      </c>
      <c r="C157" s="18">
        <f t="shared" si="32"/>
        <v>25889105.97808278</v>
      </c>
      <c r="D157" s="13">
        <v>2715857</v>
      </c>
      <c r="E157" s="45">
        <f t="shared" si="33"/>
        <v>9.5325733196124762</v>
      </c>
      <c r="F157" s="45">
        <f t="shared" si="35"/>
        <v>9.5325733196124762</v>
      </c>
    </row>
    <row r="158" spans="1:6" x14ac:dyDescent="0.35">
      <c r="A158" s="17">
        <v>2047</v>
      </c>
      <c r="B158" s="18">
        <f t="shared" si="34"/>
        <v>25914.498800137761</v>
      </c>
      <c r="C158" s="18">
        <f t="shared" si="32"/>
        <v>25914498.800137762</v>
      </c>
      <c r="D158" s="13">
        <v>2707639</v>
      </c>
      <c r="E158" s="45">
        <f t="shared" si="33"/>
        <v>9.5708840063752074</v>
      </c>
      <c r="F158" s="45">
        <f t="shared" si="35"/>
        <v>9.5708840063752074</v>
      </c>
    </row>
    <row r="159" spans="1:6" x14ac:dyDescent="0.35">
      <c r="A159" s="17">
        <v>2048</v>
      </c>
      <c r="B159" s="18">
        <f t="shared" si="34"/>
        <v>25935.737738530617</v>
      </c>
      <c r="C159" s="18">
        <f t="shared" si="32"/>
        <v>25935737.738530617</v>
      </c>
      <c r="D159" s="13">
        <v>2699011</v>
      </c>
      <c r="E159" s="45">
        <f t="shared" si="33"/>
        <v>9.6093486608726746</v>
      </c>
      <c r="F159" s="45">
        <f t="shared" si="35"/>
        <v>9.6093486608726746</v>
      </c>
    </row>
    <row r="160" spans="1:6" x14ac:dyDescent="0.35">
      <c r="A160" s="17">
        <v>2049</v>
      </c>
      <c r="B160" s="18">
        <f t="shared" si="34"/>
        <v>25951.991675549318</v>
      </c>
      <c r="C160" s="18">
        <f t="shared" si="32"/>
        <v>25951991.675549317</v>
      </c>
      <c r="D160" s="13">
        <v>2689892</v>
      </c>
      <c r="E160" s="45">
        <f t="shared" si="33"/>
        <v>9.6479679018894871</v>
      </c>
      <c r="F160" s="45">
        <f t="shared" si="35"/>
        <v>9.6479679018894871</v>
      </c>
    </row>
    <row r="161" spans="1:6" x14ac:dyDescent="0.35">
      <c r="A161" s="17">
        <v>2050</v>
      </c>
      <c r="B161" s="18">
        <f t="shared" si="34"/>
        <v>25962.72651083595</v>
      </c>
      <c r="C161" s="18">
        <f t="shared" si="32"/>
        <v>25962726.510835949</v>
      </c>
      <c r="D161" s="13">
        <v>2680233</v>
      </c>
      <c r="E161" s="45">
        <f t="shared" si="33"/>
        <v>9.686742350697104</v>
      </c>
      <c r="F161" s="45">
        <f t="shared" si="35"/>
        <v>9.686742350697104</v>
      </c>
    </row>
    <row r="163" spans="1:6" ht="32" customHeight="1" x14ac:dyDescent="0.35">
      <c r="A163" s="11" t="s">
        <v>128</v>
      </c>
      <c r="B163" s="11" t="s">
        <v>137</v>
      </c>
      <c r="C163" s="11" t="s">
        <v>131</v>
      </c>
      <c r="D163" s="11" t="s">
        <v>132</v>
      </c>
      <c r="E163" s="11" t="s">
        <v>129</v>
      </c>
    </row>
    <row r="164" spans="1:6" x14ac:dyDescent="0.35">
      <c r="A164" s="17">
        <v>2000</v>
      </c>
      <c r="B164" s="34">
        <v>12284</v>
      </c>
      <c r="C164" s="18">
        <f t="shared" ref="C164:C187" si="36">B164*1000</f>
        <v>12284000</v>
      </c>
      <c r="D164" s="13">
        <v>3697838</v>
      </c>
      <c r="E164" s="45">
        <f t="shared" ref="E164:E187" si="37">C164/D164</f>
        <v>3.3219410909834339</v>
      </c>
    </row>
    <row r="165" spans="1:6" x14ac:dyDescent="0.35">
      <c r="A165" s="17">
        <v>2001</v>
      </c>
      <c r="B165" s="34">
        <v>13463</v>
      </c>
      <c r="C165" s="18">
        <f t="shared" si="36"/>
        <v>13463000</v>
      </c>
      <c r="D165" s="13">
        <v>3499536</v>
      </c>
      <c r="E165" s="45">
        <f t="shared" si="37"/>
        <v>3.8470814416539794</v>
      </c>
    </row>
    <row r="166" spans="1:6" x14ac:dyDescent="0.35">
      <c r="A166" s="17">
        <v>2002</v>
      </c>
      <c r="B166" s="34">
        <v>13897</v>
      </c>
      <c r="C166" s="18">
        <f t="shared" si="36"/>
        <v>13897000</v>
      </c>
      <c r="D166" s="13">
        <v>2937253</v>
      </c>
      <c r="E166" s="45">
        <f t="shared" si="37"/>
        <v>4.7312914481660249</v>
      </c>
    </row>
    <row r="167" spans="1:6" x14ac:dyDescent="0.35">
      <c r="A167" s="17">
        <v>2003</v>
      </c>
      <c r="B167" s="34">
        <v>14191</v>
      </c>
      <c r="C167" s="18">
        <f t="shared" si="36"/>
        <v>14191000</v>
      </c>
      <c r="D167" s="13">
        <v>2911109</v>
      </c>
      <c r="E167" s="45">
        <f t="shared" si="37"/>
        <v>4.8747745275082455</v>
      </c>
    </row>
    <row r="168" spans="1:6" x14ac:dyDescent="0.35">
      <c r="A168" s="17">
        <v>2004</v>
      </c>
      <c r="B168" s="34">
        <v>15583</v>
      </c>
      <c r="C168" s="18">
        <f t="shared" si="36"/>
        <v>15583000</v>
      </c>
      <c r="D168" s="13">
        <v>2877325</v>
      </c>
      <c r="E168" s="45">
        <f t="shared" si="37"/>
        <v>5.4157941838339427</v>
      </c>
    </row>
    <row r="169" spans="1:6" x14ac:dyDescent="0.35">
      <c r="A169" s="17">
        <v>2005</v>
      </c>
      <c r="B169" s="34">
        <v>16723</v>
      </c>
      <c r="C169" s="18">
        <f t="shared" si="36"/>
        <v>16723000</v>
      </c>
      <c r="D169" s="13">
        <v>2842639</v>
      </c>
      <c r="E169" s="45">
        <f t="shared" si="37"/>
        <v>5.8829137291087612</v>
      </c>
    </row>
    <row r="170" spans="1:6" x14ac:dyDescent="0.35">
      <c r="A170" s="17">
        <v>2006</v>
      </c>
      <c r="B170" s="34">
        <v>18029</v>
      </c>
      <c r="C170" s="18">
        <f t="shared" si="36"/>
        <v>18029000</v>
      </c>
      <c r="D170" s="13">
        <v>2819200</v>
      </c>
      <c r="E170" s="45">
        <f t="shared" si="37"/>
        <v>6.3950766174801359</v>
      </c>
    </row>
    <row r="171" spans="1:6" x14ac:dyDescent="0.35">
      <c r="A171" s="17">
        <v>2007</v>
      </c>
      <c r="B171" s="34">
        <v>21435</v>
      </c>
      <c r="C171" s="18">
        <f t="shared" si="36"/>
        <v>21435000</v>
      </c>
      <c r="D171" s="13">
        <v>2811089</v>
      </c>
      <c r="E171" s="45">
        <f t="shared" si="37"/>
        <v>7.6251587907746785</v>
      </c>
    </row>
    <row r="172" spans="1:6" x14ac:dyDescent="0.35">
      <c r="A172" s="17">
        <v>2008</v>
      </c>
      <c r="B172" s="34">
        <v>21491</v>
      </c>
      <c r="C172" s="18">
        <f t="shared" si="36"/>
        <v>21491000</v>
      </c>
      <c r="D172" s="13">
        <v>2810369</v>
      </c>
      <c r="E172" s="45">
        <f t="shared" si="37"/>
        <v>7.6470385205643812</v>
      </c>
    </row>
    <row r="173" spans="1:6" x14ac:dyDescent="0.35">
      <c r="A173" s="17">
        <v>2009</v>
      </c>
      <c r="B173" s="34">
        <v>17515</v>
      </c>
      <c r="C173" s="18">
        <f t="shared" si="36"/>
        <v>17515000</v>
      </c>
      <c r="D173" s="13">
        <v>2808380</v>
      </c>
      <c r="E173" s="45">
        <f t="shared" si="37"/>
        <v>6.2366916158069774</v>
      </c>
    </row>
    <row r="174" spans="1:6" x14ac:dyDescent="0.35">
      <c r="A174" s="17">
        <v>2010</v>
      </c>
      <c r="B174" s="34">
        <v>18040</v>
      </c>
      <c r="C174" s="18">
        <f t="shared" si="36"/>
        <v>18040000</v>
      </c>
      <c r="D174" s="13">
        <v>2810369</v>
      </c>
      <c r="E174" s="45">
        <f t="shared" si="37"/>
        <v>6.4190858922796261</v>
      </c>
    </row>
    <row r="175" spans="1:6" x14ac:dyDescent="0.35">
      <c r="A175" s="17">
        <v>2011</v>
      </c>
      <c r="B175" s="34">
        <v>17958</v>
      </c>
      <c r="C175" s="18">
        <f t="shared" si="36"/>
        <v>17958000</v>
      </c>
      <c r="D175" s="13">
        <v>2808380</v>
      </c>
      <c r="E175" s="45">
        <f t="shared" si="37"/>
        <v>6.394433801693503</v>
      </c>
    </row>
    <row r="176" spans="1:6" x14ac:dyDescent="0.35">
      <c r="A176" s="17">
        <v>2012</v>
      </c>
      <c r="B176" s="34">
        <v>18311</v>
      </c>
      <c r="C176" s="18">
        <f t="shared" si="36"/>
        <v>18311000</v>
      </c>
      <c r="D176" s="13">
        <v>2831639</v>
      </c>
      <c r="E176" s="45">
        <f t="shared" si="37"/>
        <v>6.4665728929429207</v>
      </c>
    </row>
    <row r="177" spans="1:8" x14ac:dyDescent="0.35">
      <c r="A177" s="17">
        <v>2013</v>
      </c>
      <c r="B177" s="34">
        <v>18361</v>
      </c>
      <c r="C177" s="18">
        <f t="shared" si="36"/>
        <v>18361000</v>
      </c>
      <c r="D177" s="13">
        <v>2871585</v>
      </c>
      <c r="E177" s="45">
        <f t="shared" si="37"/>
        <v>6.3940297779797568</v>
      </c>
    </row>
    <row r="178" spans="1:8" x14ac:dyDescent="0.35">
      <c r="A178" s="17">
        <v>2014</v>
      </c>
      <c r="B178" s="34">
        <v>20356</v>
      </c>
      <c r="C178" s="18">
        <f t="shared" si="36"/>
        <v>20356000</v>
      </c>
      <c r="D178" s="13">
        <v>2947862</v>
      </c>
      <c r="E178" s="45">
        <f t="shared" si="37"/>
        <v>6.9053436015661518</v>
      </c>
    </row>
    <row r="179" spans="1:8" x14ac:dyDescent="0.35">
      <c r="A179" s="17">
        <v>2015</v>
      </c>
      <c r="B179" s="34">
        <v>21450</v>
      </c>
      <c r="C179" s="18">
        <f t="shared" si="36"/>
        <v>21450000</v>
      </c>
      <c r="D179" s="13">
        <v>2926644</v>
      </c>
      <c r="E179" s="45">
        <f t="shared" si="37"/>
        <v>7.3292139392423543</v>
      </c>
    </row>
    <row r="180" spans="1:8" x14ac:dyDescent="0.35">
      <c r="A180" s="17">
        <v>2016</v>
      </c>
      <c r="B180" s="34">
        <v>22906</v>
      </c>
      <c r="C180" s="18">
        <f t="shared" si="36"/>
        <v>22906000</v>
      </c>
      <c r="D180" s="13">
        <v>2895573</v>
      </c>
      <c r="E180" s="45">
        <f t="shared" si="37"/>
        <v>7.9106967774599362</v>
      </c>
    </row>
    <row r="181" spans="1:8" x14ac:dyDescent="0.35">
      <c r="A181" s="17">
        <v>2017</v>
      </c>
      <c r="B181" s="34">
        <v>24135</v>
      </c>
      <c r="C181" s="18">
        <f t="shared" si="36"/>
        <v>24135000</v>
      </c>
      <c r="D181" s="13">
        <v>2859077</v>
      </c>
      <c r="E181" s="45">
        <f t="shared" si="37"/>
        <v>8.441535502541555</v>
      </c>
    </row>
    <row r="182" spans="1:8" x14ac:dyDescent="0.35">
      <c r="A182" s="17">
        <v>2018</v>
      </c>
      <c r="B182" s="34">
        <v>25763</v>
      </c>
      <c r="C182" s="18">
        <f t="shared" si="36"/>
        <v>25763000</v>
      </c>
      <c r="D182" s="13">
        <v>2826200</v>
      </c>
      <c r="E182" s="45">
        <f t="shared" si="37"/>
        <v>9.1157738305852387</v>
      </c>
    </row>
    <row r="183" spans="1:8" x14ac:dyDescent="0.35">
      <c r="A183" s="17">
        <v>2019</v>
      </c>
      <c r="B183" s="34">
        <v>26568</v>
      </c>
      <c r="C183" s="18">
        <f t="shared" si="36"/>
        <v>26568000</v>
      </c>
      <c r="D183" s="13">
        <v>2812200</v>
      </c>
      <c r="E183" s="45">
        <f t="shared" si="37"/>
        <v>9.4474077234905049</v>
      </c>
    </row>
    <row r="184" spans="1:8" x14ac:dyDescent="0.35">
      <c r="A184" s="17">
        <v>2020</v>
      </c>
      <c r="B184" s="34">
        <v>25473</v>
      </c>
      <c r="C184" s="18">
        <f t="shared" si="36"/>
        <v>25473000</v>
      </c>
      <c r="D184" s="13">
        <v>2809977</v>
      </c>
      <c r="E184" s="45">
        <f t="shared" si="37"/>
        <v>9.065198754295853</v>
      </c>
    </row>
    <row r="185" spans="1:8" x14ac:dyDescent="0.35">
      <c r="A185" s="17">
        <v>2021</v>
      </c>
      <c r="B185" s="34">
        <v>25774</v>
      </c>
      <c r="C185" s="18">
        <f t="shared" si="36"/>
        <v>25774000</v>
      </c>
      <c r="D185" s="13">
        <v>2810761</v>
      </c>
      <c r="E185" s="45">
        <f t="shared" si="37"/>
        <v>9.1697586525499677</v>
      </c>
    </row>
    <row r="186" spans="1:8" x14ac:dyDescent="0.35">
      <c r="A186" s="17">
        <v>2022</v>
      </c>
      <c r="B186" s="34">
        <v>25757</v>
      </c>
      <c r="C186" s="18">
        <f t="shared" si="36"/>
        <v>25757000</v>
      </c>
      <c r="D186" s="13">
        <v>2805998</v>
      </c>
      <c r="E186" s="45">
        <f t="shared" si="37"/>
        <v>9.1792652738882925</v>
      </c>
    </row>
    <row r="187" spans="1:8" x14ac:dyDescent="0.35">
      <c r="A187" s="17">
        <v>2023</v>
      </c>
      <c r="B187" s="34">
        <v>26327</v>
      </c>
      <c r="C187" s="18">
        <f t="shared" si="36"/>
        <v>26327000</v>
      </c>
      <c r="D187" s="13">
        <v>2857279</v>
      </c>
      <c r="E187" s="45">
        <f t="shared" si="37"/>
        <v>9.2140109523781195</v>
      </c>
      <c r="F187" s="45">
        <f>(E187/E182)^(1/6)-1</f>
        <v>1.7880891055437331E-3</v>
      </c>
      <c r="H187" s="23" t="s">
        <v>140</v>
      </c>
    </row>
    <row r="188" spans="1:8" x14ac:dyDescent="0.35">
      <c r="A188" s="17">
        <v>2024</v>
      </c>
      <c r="B188" s="34">
        <v>25701</v>
      </c>
      <c r="C188" s="18">
        <f t="shared" ref="C188:C214" si="38">D188*E188</f>
        <v>26638177.699473187</v>
      </c>
      <c r="D188" s="13">
        <v>2885891</v>
      </c>
      <c r="E188" s="45">
        <f t="shared" ref="E188:E214" si="39">F188</f>
        <v>9.2304864249804268</v>
      </c>
      <c r="F188" s="45">
        <f>E187*(1+F187)</f>
        <v>9.2304864249804268</v>
      </c>
    </row>
    <row r="189" spans="1:8" x14ac:dyDescent="0.35">
      <c r="A189" s="17">
        <v>2025</v>
      </c>
      <c r="B189" s="18">
        <f t="shared" ref="B189:B214" si="40">C189/1000</f>
        <v>26729.945024557052</v>
      </c>
      <c r="C189" s="18">
        <f t="shared" si="38"/>
        <v>26729945.02455705</v>
      </c>
      <c r="D189" s="13">
        <v>2890664</v>
      </c>
      <c r="E189" s="45">
        <f t="shared" si="39"/>
        <v>9.2469913571958031</v>
      </c>
      <c r="F189" s="45">
        <f t="shared" ref="F189:F214" si="41">F188*(1+$F$187)</f>
        <v>9.2469913571958031</v>
      </c>
    </row>
    <row r="190" spans="1:8" x14ac:dyDescent="0.35">
      <c r="A190" s="17">
        <v>2026</v>
      </c>
      <c r="B190" s="18">
        <f t="shared" si="40"/>
        <v>26742.715156991017</v>
      </c>
      <c r="C190" s="18">
        <f t="shared" si="38"/>
        <v>26742715.156991016</v>
      </c>
      <c r="D190" s="13">
        <v>2886883</v>
      </c>
      <c r="E190" s="45">
        <f t="shared" si="39"/>
        <v>9.2635258017006628</v>
      </c>
      <c r="F190" s="45">
        <f t="shared" si="41"/>
        <v>9.2635258017006628</v>
      </c>
    </row>
    <row r="191" spans="1:8" x14ac:dyDescent="0.35">
      <c r="A191" s="17">
        <v>2027</v>
      </c>
      <c r="B191" s="18">
        <f t="shared" si="40"/>
        <v>26715.197745528039</v>
      </c>
      <c r="C191" s="18">
        <f t="shared" si="38"/>
        <v>26715197.745528039</v>
      </c>
      <c r="D191" s="13">
        <v>2878765</v>
      </c>
      <c r="E191" s="45">
        <f t="shared" si="39"/>
        <v>9.2800898112656078</v>
      </c>
      <c r="F191" s="45">
        <f t="shared" si="41"/>
        <v>9.2800898112656078</v>
      </c>
    </row>
    <row r="192" spans="1:8" x14ac:dyDescent="0.35">
      <c r="A192" s="17">
        <v>2028</v>
      </c>
      <c r="B192" s="18">
        <f t="shared" si="40"/>
        <v>26695.779768357374</v>
      </c>
      <c r="C192" s="18">
        <f t="shared" si="38"/>
        <v>26695779.768357374</v>
      </c>
      <c r="D192" s="13">
        <v>2871538</v>
      </c>
      <c r="E192" s="45">
        <f t="shared" si="39"/>
        <v>9.2966834387555988</v>
      </c>
      <c r="F192" s="45">
        <f t="shared" si="41"/>
        <v>9.2966834387555988</v>
      </c>
    </row>
    <row r="193" spans="1:6" x14ac:dyDescent="0.35">
      <c r="A193" s="17">
        <v>2029</v>
      </c>
      <c r="B193" s="18">
        <f t="shared" si="40"/>
        <v>26667.377918749131</v>
      </c>
      <c r="C193" s="18">
        <f t="shared" si="38"/>
        <v>26667377.918749131</v>
      </c>
      <c r="D193" s="13">
        <v>2863363</v>
      </c>
      <c r="E193" s="45">
        <f t="shared" si="39"/>
        <v>9.3133067371301266</v>
      </c>
      <c r="F193" s="45">
        <f t="shared" si="41"/>
        <v>9.3133067371301266</v>
      </c>
    </row>
    <row r="194" spans="1:6" x14ac:dyDescent="0.35">
      <c r="A194" s="17">
        <v>2030</v>
      </c>
      <c r="B194" s="18">
        <f t="shared" si="40"/>
        <v>26629.729754719196</v>
      </c>
      <c r="C194" s="18">
        <f t="shared" si="38"/>
        <v>26629729.754719194</v>
      </c>
      <c r="D194" s="13">
        <v>2854217</v>
      </c>
      <c r="E194" s="45">
        <f t="shared" si="39"/>
        <v>9.3299597594433763</v>
      </c>
      <c r="F194" s="45">
        <f t="shared" si="41"/>
        <v>9.3299597594433763</v>
      </c>
    </row>
    <row r="195" spans="1:6" x14ac:dyDescent="0.35">
      <c r="A195" s="17">
        <v>2031</v>
      </c>
      <c r="B195" s="18">
        <f t="shared" si="40"/>
        <v>26582.505702332586</v>
      </c>
      <c r="C195" s="18">
        <f t="shared" si="38"/>
        <v>26582505.702332586</v>
      </c>
      <c r="D195" s="13">
        <v>2844070</v>
      </c>
      <c r="E195" s="45">
        <f t="shared" si="39"/>
        <v>9.3466425588443975</v>
      </c>
      <c r="F195" s="45">
        <f t="shared" si="41"/>
        <v>9.3466425588443975</v>
      </c>
    </row>
    <row r="196" spans="1:6" x14ac:dyDescent="0.35">
      <c r="A196" s="17">
        <v>2032</v>
      </c>
      <c r="B196" s="18">
        <f t="shared" si="40"/>
        <v>26536.656849881299</v>
      </c>
      <c r="C196" s="18">
        <f t="shared" si="38"/>
        <v>26536656.849881299</v>
      </c>
      <c r="D196" s="13">
        <v>2834097</v>
      </c>
      <c r="E196" s="45">
        <f t="shared" si="39"/>
        <v>9.3633551885772786</v>
      </c>
      <c r="F196" s="45">
        <f t="shared" si="41"/>
        <v>9.3633551885772786</v>
      </c>
    </row>
    <row r="197" spans="1:6" x14ac:dyDescent="0.35">
      <c r="A197" s="17">
        <v>2033</v>
      </c>
      <c r="B197" s="18">
        <f t="shared" si="40"/>
        <v>26492.275600389727</v>
      </c>
      <c r="C197" s="18">
        <f t="shared" si="38"/>
        <v>26492275.600389726</v>
      </c>
      <c r="D197" s="13">
        <v>2824307</v>
      </c>
      <c r="E197" s="45">
        <f t="shared" si="39"/>
        <v>9.3800977019813097</v>
      </c>
      <c r="F197" s="45">
        <f t="shared" si="41"/>
        <v>9.3800977019813097</v>
      </c>
    </row>
    <row r="198" spans="1:6" x14ac:dyDescent="0.35">
      <c r="A198" s="17">
        <v>2034</v>
      </c>
      <c r="B198" s="18">
        <f t="shared" si="40"/>
        <v>26449.765086763269</v>
      </c>
      <c r="C198" s="18">
        <f t="shared" si="38"/>
        <v>26449765.08676327</v>
      </c>
      <c r="D198" s="13">
        <v>2814742</v>
      </c>
      <c r="E198" s="45">
        <f t="shared" si="39"/>
        <v>9.3968701524911591</v>
      </c>
      <c r="F198" s="45">
        <f t="shared" si="41"/>
        <v>9.3968701524911591</v>
      </c>
    </row>
    <row r="199" spans="1:6" x14ac:dyDescent="0.35">
      <c r="A199" s="17">
        <v>2035</v>
      </c>
      <c r="B199" s="18">
        <f t="shared" si="40"/>
        <v>26409.343022331595</v>
      </c>
      <c r="C199" s="18">
        <f t="shared" si="38"/>
        <v>26409343.022331595</v>
      </c>
      <c r="D199" s="13">
        <v>2805424</v>
      </c>
      <c r="E199" s="45">
        <f t="shared" si="39"/>
        <v>9.4136725936370382</v>
      </c>
      <c r="F199" s="45">
        <f t="shared" si="41"/>
        <v>9.4136725936370382</v>
      </c>
    </row>
    <row r="200" spans="1:6" x14ac:dyDescent="0.35">
      <c r="A200" s="17">
        <v>2036</v>
      </c>
      <c r="B200" s="18">
        <f t="shared" si="40"/>
        <v>26371.200348898878</v>
      </c>
      <c r="C200" s="18">
        <f t="shared" si="38"/>
        <v>26371200.348898876</v>
      </c>
      <c r="D200" s="13">
        <v>2796372</v>
      </c>
      <c r="E200" s="45">
        <f t="shared" si="39"/>
        <v>9.4305050790448757</v>
      </c>
      <c r="F200" s="45">
        <f t="shared" si="41"/>
        <v>9.4305050790448757</v>
      </c>
    </row>
    <row r="201" spans="1:6" x14ac:dyDescent="0.35">
      <c r="A201" s="17">
        <v>2037</v>
      </c>
      <c r="B201" s="18">
        <f t="shared" si="40"/>
        <v>26335.236464248741</v>
      </c>
      <c r="C201" s="18">
        <f t="shared" si="38"/>
        <v>26335236.464248739</v>
      </c>
      <c r="D201" s="13">
        <v>2787574</v>
      </c>
      <c r="E201" s="45">
        <f t="shared" si="39"/>
        <v>9.4473676624364913</v>
      </c>
      <c r="F201" s="45">
        <f t="shared" si="41"/>
        <v>9.4473676624364913</v>
      </c>
    </row>
    <row r="202" spans="1:6" x14ac:dyDescent="0.35">
      <c r="A202" s="17">
        <v>2038</v>
      </c>
      <c r="B202" s="18">
        <f t="shared" si="40"/>
        <v>26301.898928803323</v>
      </c>
      <c r="C202" s="18">
        <f t="shared" si="38"/>
        <v>26301898.928803321</v>
      </c>
      <c r="D202" s="13">
        <v>2779076</v>
      </c>
      <c r="E202" s="45">
        <f t="shared" si="39"/>
        <v>9.4642603976297597</v>
      </c>
      <c r="F202" s="45">
        <f t="shared" si="41"/>
        <v>9.4642603976297597</v>
      </c>
    </row>
    <row r="203" spans="1:6" x14ac:dyDescent="0.35">
      <c r="A203" s="17">
        <v>2039</v>
      </c>
      <c r="B203" s="18">
        <f t="shared" si="40"/>
        <v>26270.519681523307</v>
      </c>
      <c r="C203" s="18">
        <f t="shared" si="38"/>
        <v>26270519.681523308</v>
      </c>
      <c r="D203" s="13">
        <v>2770806</v>
      </c>
      <c r="E203" s="45">
        <f t="shared" si="39"/>
        <v>9.4811833385387896</v>
      </c>
      <c r="F203" s="45">
        <f t="shared" si="41"/>
        <v>9.4811833385387896</v>
      </c>
    </row>
    <row r="204" spans="1:6" x14ac:dyDescent="0.35">
      <c r="A204" s="17">
        <v>2040</v>
      </c>
      <c r="B204" s="18">
        <f t="shared" si="40"/>
        <v>26240.796259008985</v>
      </c>
      <c r="C204" s="18">
        <f t="shared" si="38"/>
        <v>26240796.259008985</v>
      </c>
      <c r="D204" s="13">
        <v>2762731</v>
      </c>
      <c r="E204" s="45">
        <f t="shared" si="39"/>
        <v>9.4981365391740944</v>
      </c>
      <c r="F204" s="45">
        <f t="shared" si="41"/>
        <v>9.4981365391740944</v>
      </c>
    </row>
    <row r="205" spans="1:6" x14ac:dyDescent="0.35">
      <c r="A205" s="17">
        <v>2041</v>
      </c>
      <c r="B205" s="18">
        <f t="shared" si="40"/>
        <v>26212.34787497561</v>
      </c>
      <c r="C205" s="18">
        <f t="shared" si="38"/>
        <v>26212347.874975611</v>
      </c>
      <c r="D205" s="13">
        <v>2754810</v>
      </c>
      <c r="E205" s="45">
        <f t="shared" si="39"/>
        <v>9.5151200536427591</v>
      </c>
      <c r="F205" s="45">
        <f t="shared" si="41"/>
        <v>9.5151200536427591</v>
      </c>
    </row>
    <row r="206" spans="1:6" x14ac:dyDescent="0.35">
      <c r="A206" s="17">
        <v>2042</v>
      </c>
      <c r="B206" s="18">
        <f t="shared" si="40"/>
        <v>26185.048354484403</v>
      </c>
      <c r="C206" s="18">
        <f t="shared" si="38"/>
        <v>26185048.354484402</v>
      </c>
      <c r="D206" s="13">
        <v>2747029</v>
      </c>
      <c r="E206" s="45">
        <f t="shared" si="39"/>
        <v>9.5321339361486181</v>
      </c>
      <c r="F206" s="45">
        <f t="shared" si="41"/>
        <v>9.5321339361486181</v>
      </c>
    </row>
    <row r="207" spans="1:6" x14ac:dyDescent="0.35">
      <c r="A207" s="17">
        <v>2043</v>
      </c>
      <c r="B207" s="18">
        <f t="shared" si="40"/>
        <v>26158.121250620006</v>
      </c>
      <c r="C207" s="18">
        <f t="shared" si="38"/>
        <v>26158121.250620008</v>
      </c>
      <c r="D207" s="13">
        <v>2739306</v>
      </c>
      <c r="E207" s="45">
        <f t="shared" si="39"/>
        <v>9.5491782409924291</v>
      </c>
      <c r="F207" s="45">
        <f t="shared" si="41"/>
        <v>9.5491782409924291</v>
      </c>
    </row>
    <row r="208" spans="1:6" x14ac:dyDescent="0.35">
      <c r="A208" s="17">
        <v>2044</v>
      </c>
      <c r="B208" s="18">
        <f t="shared" si="40"/>
        <v>26130.947166385253</v>
      </c>
      <c r="C208" s="18">
        <f t="shared" si="38"/>
        <v>26130947.166385252</v>
      </c>
      <c r="D208" s="13">
        <v>2731576</v>
      </c>
      <c r="E208" s="45">
        <f t="shared" si="39"/>
        <v>9.5662530225720435</v>
      </c>
      <c r="F208" s="45">
        <f t="shared" si="41"/>
        <v>9.5662530225720435</v>
      </c>
    </row>
    <row r="209" spans="1:6" x14ac:dyDescent="0.35">
      <c r="A209" s="17">
        <v>2045</v>
      </c>
      <c r="B209" s="18">
        <f t="shared" si="40"/>
        <v>26103.161017273404</v>
      </c>
      <c r="C209" s="18">
        <f t="shared" si="38"/>
        <v>26103161.017273404</v>
      </c>
      <c r="D209" s="13">
        <v>2723801</v>
      </c>
      <c r="E209" s="45">
        <f t="shared" si="39"/>
        <v>9.5833583353825791</v>
      </c>
      <c r="F209" s="45">
        <f t="shared" si="41"/>
        <v>9.5833583353825791</v>
      </c>
    </row>
    <row r="210" spans="1:6" x14ac:dyDescent="0.35">
      <c r="A210" s="17">
        <v>2046</v>
      </c>
      <c r="B210" s="18">
        <f t="shared" si="40"/>
        <v>26073.569468913614</v>
      </c>
      <c r="C210" s="18">
        <f t="shared" si="38"/>
        <v>26073569.468913615</v>
      </c>
      <c r="D210" s="13">
        <v>2715857</v>
      </c>
      <c r="E210" s="45">
        <f t="shared" si="39"/>
        <v>9.6004942340165975</v>
      </c>
      <c r="F210" s="45">
        <f t="shared" si="41"/>
        <v>9.6004942340165975</v>
      </c>
    </row>
    <row r="211" spans="1:6" x14ac:dyDescent="0.35">
      <c r="A211" s="17">
        <v>2047</v>
      </c>
      <c r="B211" s="18">
        <f t="shared" si="40"/>
        <v>26041.153398189752</v>
      </c>
      <c r="C211" s="18">
        <f t="shared" si="38"/>
        <v>26041153.398189753</v>
      </c>
      <c r="D211" s="13">
        <v>2707639</v>
      </c>
      <c r="E211" s="45">
        <f t="shared" si="39"/>
        <v>9.6176607731642783</v>
      </c>
      <c r="F211" s="45">
        <f t="shared" si="41"/>
        <v>9.6176607731642783</v>
      </c>
    </row>
    <row r="212" spans="1:6" x14ac:dyDescent="0.35">
      <c r="A212" s="17">
        <v>2048</v>
      </c>
      <c r="B212" s="18">
        <f t="shared" si="40"/>
        <v>26004.587745987163</v>
      </c>
      <c r="C212" s="18">
        <f t="shared" si="38"/>
        <v>26004587.745987162</v>
      </c>
      <c r="D212" s="13">
        <v>2699011</v>
      </c>
      <c r="E212" s="45">
        <f t="shared" si="39"/>
        <v>9.6348580076135892</v>
      </c>
      <c r="F212" s="45">
        <f t="shared" si="41"/>
        <v>9.6348580076135892</v>
      </c>
    </row>
    <row r="213" spans="1:6" x14ac:dyDescent="0.35">
      <c r="A213" s="17">
        <v>2049</v>
      </c>
      <c r="B213" s="18">
        <f t="shared" si="40"/>
        <v>25963.068893866588</v>
      </c>
      <c r="C213" s="18">
        <f t="shared" si="38"/>
        <v>25963068.893866587</v>
      </c>
      <c r="D213" s="13">
        <v>2689892</v>
      </c>
      <c r="E213" s="45">
        <f t="shared" si="39"/>
        <v>9.6520859922504645</v>
      </c>
      <c r="F213" s="45">
        <f t="shared" si="41"/>
        <v>9.6520859922504645</v>
      </c>
    </row>
    <row r="214" spans="1:6" x14ac:dyDescent="0.35">
      <c r="A214" s="17">
        <v>2050</v>
      </c>
      <c r="B214" s="18">
        <f t="shared" si="40"/>
        <v>25916.096973252283</v>
      </c>
      <c r="C214" s="18">
        <f t="shared" si="38"/>
        <v>25916096.973252282</v>
      </c>
      <c r="D214" s="13">
        <v>2680233</v>
      </c>
      <c r="E214" s="45">
        <f t="shared" si="39"/>
        <v>9.6693447820589782</v>
      </c>
      <c r="F214" s="45">
        <f t="shared" si="41"/>
        <v>9.6693447820589782</v>
      </c>
    </row>
  </sheetData>
  <sheetProtection algorithmName="SHA-512" hashValue="X+dfODnyGB5F3devXt6L9BLiJ6syPmgocCRdKm0xrzG6K7pSIYwPuLf2gw6WGivnwap93mchkAR+X/ghw4OA6w==" saltValue="J3o+Qos/bVZISOpFcofs0A==" spinCount="100000" sheet="1" objects="1" scenarios="1"/>
  <mergeCells count="7">
    <mergeCell ref="V1:X1"/>
    <mergeCell ref="Z1:AB1"/>
    <mergeCell ref="A1:D1"/>
    <mergeCell ref="F1:H1"/>
    <mergeCell ref="J1:L1"/>
    <mergeCell ref="N1:P1"/>
    <mergeCell ref="R1:T1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93939-AADF-47EF-BD1B-7BB7F160995B}">
  <sheetPr>
    <tabColor rgb="FF3F8F68"/>
  </sheetPr>
  <dimension ref="A2:AA90"/>
  <sheetViews>
    <sheetView showGridLines="0" workbookViewId="0">
      <selection activeCell="H43" sqref="H43"/>
    </sheetView>
  </sheetViews>
  <sheetFormatPr defaultRowHeight="14.5" x14ac:dyDescent="0.35"/>
  <cols>
    <col min="4" max="4" width="17" customWidth="1"/>
    <col min="5" max="5" width="19.1796875" customWidth="1"/>
    <col min="8" max="8" width="13.54296875" customWidth="1"/>
    <col min="9" max="9" width="13.1796875" customWidth="1"/>
    <col min="10" max="10" width="13.81640625" customWidth="1"/>
    <col min="11" max="11" width="8.1796875" customWidth="1"/>
    <col min="12" max="12" width="30.81640625" customWidth="1"/>
    <col min="15" max="24" width="11.81640625" customWidth="1"/>
    <col min="25" max="25" width="12.6328125" customWidth="1"/>
    <col min="26" max="28" width="11.81640625" customWidth="1"/>
  </cols>
  <sheetData>
    <row r="2" spans="1:27" ht="18" customHeight="1" x14ac:dyDescent="0.35">
      <c r="A2" s="33" t="s">
        <v>14</v>
      </c>
    </row>
    <row r="3" spans="1:27" ht="52" x14ac:dyDescent="0.35">
      <c r="A3" s="28" t="s">
        <v>73</v>
      </c>
      <c r="B3" s="11" t="s">
        <v>220</v>
      </c>
      <c r="C3" s="11" t="s">
        <v>221</v>
      </c>
      <c r="D3" s="11" t="s">
        <v>158</v>
      </c>
      <c r="E3" s="11" t="s">
        <v>175</v>
      </c>
      <c r="F3" s="7"/>
      <c r="G3" s="28" t="s">
        <v>73</v>
      </c>
      <c r="H3" s="11" t="s">
        <v>159</v>
      </c>
      <c r="I3" s="11" t="s">
        <v>160</v>
      </c>
      <c r="J3" s="11" t="s">
        <v>161</v>
      </c>
      <c r="K3" s="11" t="s">
        <v>162</v>
      </c>
      <c r="L3" s="11" t="s">
        <v>179</v>
      </c>
      <c r="M3" s="7"/>
      <c r="N3" s="28" t="s">
        <v>73</v>
      </c>
      <c r="O3" s="11" t="s">
        <v>31</v>
      </c>
      <c r="P3" s="11" t="s">
        <v>33</v>
      </c>
      <c r="Q3" s="11" t="s">
        <v>34</v>
      </c>
      <c r="R3" s="11" t="s">
        <v>164</v>
      </c>
      <c r="S3" s="11" t="s">
        <v>36</v>
      </c>
      <c r="T3" s="11" t="s">
        <v>37</v>
      </c>
      <c r="U3" s="11" t="s">
        <v>38</v>
      </c>
      <c r="V3" s="11" t="s">
        <v>40</v>
      </c>
      <c r="W3" s="11" t="s">
        <v>41</v>
      </c>
      <c r="X3" s="11" t="s">
        <v>42</v>
      </c>
      <c r="Y3" s="11" t="s">
        <v>43</v>
      </c>
      <c r="Z3" s="11" t="s">
        <v>44</v>
      </c>
      <c r="AA3" s="11" t="s">
        <v>45</v>
      </c>
    </row>
    <row r="4" spans="1:27" x14ac:dyDescent="0.35">
      <c r="A4" s="47">
        <v>2024</v>
      </c>
      <c r="B4" s="18">
        <f>'SEI Scenario EST'!P7</f>
        <v>26.513427834280904</v>
      </c>
      <c r="C4" s="18">
        <f>'SEI Scenario EST'!U7</f>
        <v>41.056125075407202</v>
      </c>
      <c r="D4" s="18">
        <f>'SEI Scenario EST'!Z7</f>
        <v>0</v>
      </c>
      <c r="E4" s="18">
        <f>'SEI Scenario EST'!AE7</f>
        <v>0</v>
      </c>
      <c r="G4" s="47">
        <v>2024</v>
      </c>
      <c r="H4" s="18">
        <f>'SEI Scenario EST'!AN7</f>
        <v>1156.5383156570033</v>
      </c>
      <c r="I4" s="18">
        <f>'SEI Scenario EST'!AS7</f>
        <v>8.7197089777322248</v>
      </c>
      <c r="J4" s="18">
        <f>'SEI Scenario EST'!AX7</f>
        <v>371.95511078722495</v>
      </c>
      <c r="K4" s="18">
        <f>'SEI Scenario EST'!BC7</f>
        <v>293.19523917231982</v>
      </c>
      <c r="L4" s="18">
        <f>'SEI Scenario EST'!BH7</f>
        <v>2551.7470799876937</v>
      </c>
      <c r="N4" s="47">
        <v>2024</v>
      </c>
      <c r="O4" s="18">
        <f>'SEI Scenario EST'!BQ7</f>
        <v>2.0492773811596727</v>
      </c>
      <c r="P4" s="18">
        <f>'SEI Scenario EST'!BV7</f>
        <v>72.40780080097511</v>
      </c>
      <c r="Q4" s="18">
        <f>'SEI Scenario EST'!CA7</f>
        <v>2.0492773811596727</v>
      </c>
      <c r="R4" s="18">
        <f>'SEI Scenario EST'!CF7</f>
        <v>91.702742499539852</v>
      </c>
      <c r="S4" s="18">
        <f>'SEI Scenario EST'!CK7</f>
        <v>28.882753543162153</v>
      </c>
      <c r="T4" s="18">
        <f>'SEI Scenario EST'!CP7</f>
        <v>166.7979017117614</v>
      </c>
      <c r="U4" s="18">
        <f>'SEI Scenario EST'!CU7</f>
        <v>14.441376771581083</v>
      </c>
      <c r="V4" s="18">
        <f>'SEI Scenario EST'!CZ7</f>
        <v>209.70938533867312</v>
      </c>
      <c r="W4" s="18">
        <f>'SEI Scenario EST'!DE7</f>
        <v>192.63207382900924</v>
      </c>
      <c r="X4" s="18">
        <f>'SEI Scenario EST'!DJ7</f>
        <v>309.44088455511059</v>
      </c>
      <c r="Y4" s="18">
        <f>'SEI Scenario EST'!DO7</f>
        <v>27.323698415462299</v>
      </c>
      <c r="Z4" s="18">
        <f>'SEI Scenario EST'!DT7</f>
        <v>23.908236113529512</v>
      </c>
      <c r="AA4" s="18">
        <f>'SEI Scenario EST'!DY7</f>
        <v>102.46386905798367</v>
      </c>
    </row>
    <row r="5" spans="1:27" x14ac:dyDescent="0.35">
      <c r="A5" s="47">
        <f t="shared" ref="A5:A30" si="0">A4+1</f>
        <v>2025</v>
      </c>
      <c r="B5" s="18">
        <f>'SEI Scenario EST'!P8</f>
        <v>24.049601772052512</v>
      </c>
      <c r="C5" s="18">
        <f>'SEI Scenario EST'!U8</f>
        <v>97.70028396320528</v>
      </c>
      <c r="D5" s="18">
        <f>'SEI Scenario EST'!Z8</f>
        <v>0</v>
      </c>
      <c r="E5" s="18">
        <f>'SEI Scenario EST'!AE8</f>
        <v>0</v>
      </c>
      <c r="G5" s="47">
        <f t="shared" ref="G5:G30" si="1">G4+1</f>
        <v>2025</v>
      </c>
      <c r="H5" s="18">
        <f>'SEI Scenario EST'!AN8</f>
        <v>1220.6727855243139</v>
      </c>
      <c r="I5" s="18">
        <f>'SEI Scenario EST'!AS8</f>
        <v>8.8115298999858638</v>
      </c>
      <c r="J5" s="18">
        <f>'SEI Scenario EST'!AX8</f>
        <v>382.81140477554311</v>
      </c>
      <c r="K5" s="18">
        <f>'SEI Scenario EST'!BC8</f>
        <v>301.40499225222669</v>
      </c>
      <c r="L5" s="18">
        <f>'SEI Scenario EST'!BH8</f>
        <v>2578.6178540377205</v>
      </c>
      <c r="N5" s="47">
        <f t="shared" ref="N5:N30" si="2">N4+1</f>
        <v>2025</v>
      </c>
      <c r="O5" s="18">
        <f>'SEI Scenario EST'!BQ8</f>
        <v>2.0777782464930428</v>
      </c>
      <c r="P5" s="18">
        <f>'SEI Scenario EST'!BV8</f>
        <v>73.58980042835104</v>
      </c>
      <c r="Q5" s="18">
        <f>'SEI Scenario EST'!CA8</f>
        <v>2.0932981518315561</v>
      </c>
      <c r="R5" s="18">
        <f>'SEI Scenario EST'!CF8</f>
        <v>93.459978022898412</v>
      </c>
      <c r="S5" s="18">
        <f>'SEI Scenario EST'!CK8</f>
        <v>29.357655941471613</v>
      </c>
      <c r="T5" s="18">
        <f>'SEI Scenario EST'!CP8</f>
        <v>168.80141925451781</v>
      </c>
      <c r="U5" s="18">
        <f>'SEI Scenario EST'!CU8</f>
        <v>14.594783467969261</v>
      </c>
      <c r="V5" s="18">
        <f>'SEI Scenario EST'!CZ8</f>
        <v>212.67074458120172</v>
      </c>
      <c r="W5" s="18">
        <f>'SEI Scenario EST'!DE8</f>
        <v>196.92745592352296</v>
      </c>
      <c r="X5" s="18">
        <f>'SEI Scenario EST'!DJ8</f>
        <v>313.66694205848739</v>
      </c>
      <c r="Y5" s="18">
        <f>'SEI Scenario EST'!DO8</f>
        <v>28.230918877505754</v>
      </c>
      <c r="Z5" s="18">
        <f>'SEI Scenario EST'!DT8</f>
        <v>24.244890174007818</v>
      </c>
      <c r="AA5" s="18">
        <f>'SEI Scenario EST'!DY8</f>
        <v>103.34324737289501</v>
      </c>
    </row>
    <row r="6" spans="1:27" x14ac:dyDescent="0.35">
      <c r="A6" s="47">
        <f t="shared" si="0"/>
        <v>2026</v>
      </c>
      <c r="B6" s="18">
        <f>'SEI Scenario EST'!P9</f>
        <v>24.453848102779098</v>
      </c>
      <c r="C6" s="18">
        <f>'SEI Scenario EST'!U9</f>
        <v>119.07360149219259</v>
      </c>
      <c r="D6" s="18">
        <f>'SEI Scenario EST'!Z9</f>
        <v>0</v>
      </c>
      <c r="E6" s="18">
        <f>'SEI Scenario EST'!AE9</f>
        <v>0</v>
      </c>
      <c r="G6" s="47">
        <f t="shared" si="1"/>
        <v>2026</v>
      </c>
      <c r="H6" s="18">
        <f>'SEI Scenario EST'!AN9</f>
        <v>1239.1494265500057</v>
      </c>
      <c r="I6" s="18">
        <f>'SEI Scenario EST'!AS9</f>
        <v>8.8171006099902591</v>
      </c>
      <c r="J6" s="18">
        <f>'SEI Scenario EST'!AX9</f>
        <v>385.41818833277677</v>
      </c>
      <c r="K6" s="18">
        <f>'SEI Scenario EST'!BC9</f>
        <v>303.34107237069338</v>
      </c>
      <c r="L6" s="18">
        <f>'SEI Scenario EST'!BH9</f>
        <v>2580.2481349830755</v>
      </c>
      <c r="N6" s="47">
        <f t="shared" si="2"/>
        <v>2026</v>
      </c>
      <c r="O6" s="18">
        <f>'SEI Scenario EST'!BQ9</f>
        <v>2.0758769625628894</v>
      </c>
      <c r="P6" s="18">
        <f>'SEI Scenario EST'!BV9</f>
        <v>73.581407502226298</v>
      </c>
      <c r="Q6" s="18">
        <f>'SEI Scenario EST'!CA9</f>
        <v>2.0966112164755311</v>
      </c>
      <c r="R6" s="18">
        <f>'SEI Scenario EST'!CF9</f>
        <v>93.536790702989862</v>
      </c>
      <c r="S6" s="18">
        <f>'SEI Scenario EST'!CK9</f>
        <v>29.3554552740028</v>
      </c>
      <c r="T6" s="18">
        <f>'SEI Scenario EST'!CP9</f>
        <v>168.54040785294967</v>
      </c>
      <c r="U6" s="18">
        <f>'SEI Scenario EST'!CU9</f>
        <v>14.56544602043774</v>
      </c>
      <c r="V6" s="18">
        <f>'SEI Scenario EST'!CZ9</f>
        <v>212.49122183117319</v>
      </c>
      <c r="W6" s="18">
        <f>'SEI Scenario EST'!DE9</f>
        <v>197.29177691790451</v>
      </c>
      <c r="X6" s="18">
        <f>'SEI Scenario EST'!DJ9</f>
        <v>313.35378530013605</v>
      </c>
      <c r="Y6" s="18">
        <f>'SEI Scenario EST'!DO9</f>
        <v>28.38269908682804</v>
      </c>
      <c r="Z6" s="18">
        <f>'SEI Scenario EST'!DT9</f>
        <v>24.224100809688199</v>
      </c>
      <c r="AA6" s="18">
        <f>'SEI Scenario EST'!DY9</f>
        <v>103.06485169329596</v>
      </c>
    </row>
    <row r="7" spans="1:27" x14ac:dyDescent="0.35">
      <c r="A7" s="47">
        <f t="shared" si="0"/>
        <v>2027</v>
      </c>
      <c r="B7" s="18">
        <f>'SEI Scenario EST'!P10</f>
        <v>24.932859080851927</v>
      </c>
      <c r="C7" s="18">
        <f>'SEI Scenario EST'!U10</f>
        <v>147.23946210443816</v>
      </c>
      <c r="D7" s="18">
        <f>'SEI Scenario EST'!Z10</f>
        <v>0</v>
      </c>
      <c r="E7" s="18">
        <f>'SEI Scenario EST'!AE10</f>
        <v>0</v>
      </c>
      <c r="G7" s="47">
        <f t="shared" si="1"/>
        <v>2027</v>
      </c>
      <c r="H7" s="18">
        <f>'SEI Scenario EST'!AN10</f>
        <v>1261.2746946767934</v>
      </c>
      <c r="I7" s="18">
        <f>'SEI Scenario EST'!AS10</f>
        <v>8.8073921472293808</v>
      </c>
      <c r="J7" s="18">
        <f>'SEI Scenario EST'!AX10</f>
        <v>388.13121928174809</v>
      </c>
      <c r="K7" s="18">
        <f>'SEI Scenario EST'!BC10</f>
        <v>305.32291544203588</v>
      </c>
      <c r="L7" s="18">
        <f>'SEI Scenario EST'!BH10</f>
        <v>2577.407118291716</v>
      </c>
      <c r="N7" s="47">
        <f t="shared" si="2"/>
        <v>2027</v>
      </c>
      <c r="O7" s="18">
        <f>'SEI Scenario EST'!BQ10</f>
        <v>2.072066644804996</v>
      </c>
      <c r="P7" s="18">
        <f>'SEI Scenario EST'!BV10</f>
        <v>73.524041679276081</v>
      </c>
      <c r="Q7" s="18">
        <f>'SEI Scenario EST'!CA10</f>
        <v>2.0996544065134262</v>
      </c>
      <c r="R7" s="18">
        <f>'SEI Scenario EST'!CF10</f>
        <v>93.579068296610686</v>
      </c>
      <c r="S7" s="18">
        <f>'SEI Scenario EST'!CK10</f>
        <v>29.334080428461114</v>
      </c>
      <c r="T7" s="18">
        <f>'SEI Scenario EST'!CP10</f>
        <v>168.09061029845705</v>
      </c>
      <c r="U7" s="18">
        <f>'SEI Scenario EST'!CU10</f>
        <v>14.517644991472766</v>
      </c>
      <c r="V7" s="18">
        <f>'SEI Scenario EST'!CZ10</f>
        <v>212.12106981298177</v>
      </c>
      <c r="W7" s="18">
        <f>'SEI Scenario EST'!DE10</f>
        <v>197.64735687964557</v>
      </c>
      <c r="X7" s="18">
        <f>'SEI Scenario EST'!DJ10</f>
        <v>312.7441714222403</v>
      </c>
      <c r="Y7" s="18">
        <f>'SEI Scenario EST'!DO10</f>
        <v>28.564707511837927</v>
      </c>
      <c r="Z7" s="18">
        <f>'SEI Scenario EST'!DT10</f>
        <v>24.181477055420416</v>
      </c>
      <c r="AA7" s="18">
        <f>'SEI Scenario EST'!DY10</f>
        <v>102.63337305986983</v>
      </c>
    </row>
    <row r="8" spans="1:27" x14ac:dyDescent="0.35">
      <c r="A8" s="47">
        <f t="shared" si="0"/>
        <v>2028</v>
      </c>
      <c r="B8" s="18">
        <f>'SEI Scenario EST'!P11</f>
        <v>25.764810478352413</v>
      </c>
      <c r="C8" s="18">
        <f>'SEI Scenario EST'!U11</f>
        <v>185.91195690818344</v>
      </c>
      <c r="D8" s="18">
        <f>'SEI Scenario EST'!Z11</f>
        <v>0</v>
      </c>
      <c r="E8" s="18">
        <f>'SEI Scenario EST'!AE11</f>
        <v>0</v>
      </c>
      <c r="G8" s="47">
        <f t="shared" si="1"/>
        <v>2028</v>
      </c>
      <c r="H8" s="18">
        <f>'SEI Scenario EST'!AN11</f>
        <v>1301.107370452245</v>
      </c>
      <c r="I8" s="18">
        <f>'SEI Scenario EST'!AS11</f>
        <v>8.8673896040131801</v>
      </c>
      <c r="J8" s="18">
        <f>'SEI Scenario EST'!AX11</f>
        <v>394.94791044825195</v>
      </c>
      <c r="K8" s="18">
        <f>'SEI Scenario EST'!BC11</f>
        <v>310.48284612096228</v>
      </c>
      <c r="L8" s="18">
        <f>'SEI Scenario EST'!BH11</f>
        <v>2594.9649625142279</v>
      </c>
      <c r="N8" s="47">
        <f t="shared" si="2"/>
        <v>2028</v>
      </c>
      <c r="O8" s="18">
        <f>'SEI Scenario EST'!BQ11</f>
        <v>2.0868326838224291</v>
      </c>
      <c r="P8" s="18">
        <f>'SEI Scenario EST'!BV11</f>
        <v>74.15056463110065</v>
      </c>
      <c r="Q8" s="18">
        <f>'SEI Scenario EST'!CA11</f>
        <v>2.1237153707511887</v>
      </c>
      <c r="R8" s="18">
        <f>'SEI Scenario EST'!CF11</f>
        <v>94.528416012466309</v>
      </c>
      <c r="S8" s="18">
        <f>'SEI Scenario EST'!CK11</f>
        <v>29.58603915810907</v>
      </c>
      <c r="T8" s="18">
        <f>'SEI Scenario EST'!CP11</f>
        <v>169.10305605858127</v>
      </c>
      <c r="U8" s="18">
        <f>'SEI Scenario EST'!CU11</f>
        <v>14.593289811635811</v>
      </c>
      <c r="V8" s="18">
        <f>'SEI Scenario EST'!CZ11</f>
        <v>213.65894112757948</v>
      </c>
      <c r="W8" s="18">
        <f>'SEI Scenario EST'!DE11</f>
        <v>200.00337268307237</v>
      </c>
      <c r="X8" s="18">
        <f>'SEI Scenario EST'!DJ11</f>
        <v>314.92738447769972</v>
      </c>
      <c r="Y8" s="18">
        <f>'SEI Scenario EST'!DO11</f>
        <v>29.077335288232728</v>
      </c>
      <c r="Z8" s="18">
        <f>'SEI Scenario EST'!DT11</f>
        <v>24.356229345611087</v>
      </c>
      <c r="AA8" s="18">
        <f>'SEI Scenario EST'!DY11</f>
        <v>103.04487437560154</v>
      </c>
    </row>
    <row r="9" spans="1:27" x14ac:dyDescent="0.35">
      <c r="A9" s="47">
        <f t="shared" si="0"/>
        <v>2029</v>
      </c>
      <c r="B9" s="18">
        <f>'SEI Scenario EST'!P12</f>
        <v>26.65137759074327</v>
      </c>
      <c r="C9" s="18">
        <f>'SEI Scenario EST'!U12</f>
        <v>235.63277489346163</v>
      </c>
      <c r="D9" s="18">
        <f>'SEI Scenario EST'!Z12</f>
        <v>0</v>
      </c>
      <c r="E9" s="18">
        <f>'SEI Scenario EST'!AE12</f>
        <v>0</v>
      </c>
      <c r="G9" s="47">
        <f t="shared" si="1"/>
        <v>2029</v>
      </c>
      <c r="H9" s="18">
        <f>'SEI Scenario EST'!AN12</f>
        <v>1343.5904258823066</v>
      </c>
      <c r="I9" s="18">
        <f>'SEI Scenario EST'!AS12</f>
        <v>8.8773715112742515</v>
      </c>
      <c r="J9" s="18">
        <f>'SEI Scenario EST'!AX12</f>
        <v>400.87114486991618</v>
      </c>
      <c r="K9" s="18">
        <f>'SEI Scenario EST'!BC12</f>
        <v>314.87636156273919</v>
      </c>
      <c r="L9" s="18">
        <f>'SEI Scenario EST'!BH12</f>
        <v>2597.8862226368842</v>
      </c>
      <c r="N9" s="47">
        <f t="shared" si="2"/>
        <v>2029</v>
      </c>
      <c r="O9" s="18">
        <f>'SEI Scenario EST'!BQ12</f>
        <v>2.0926155884279325</v>
      </c>
      <c r="P9" s="18">
        <f>'SEI Scenario EST'!BV12</f>
        <v>74.489594502937223</v>
      </c>
      <c r="Q9" s="18">
        <f>'SEI Scenario EST'!CA12</f>
        <v>2.1414463322160824</v>
      </c>
      <c r="R9" s="18">
        <f>'SEI Scenario EST'!CF12</f>
        <v>95.158152382617658</v>
      </c>
      <c r="S9" s="18">
        <f>'SEI Scenario EST'!CK12</f>
        <v>29.723903454374213</v>
      </c>
      <c r="T9" s="18">
        <f>'SEI Scenario EST'!CP12</f>
        <v>169.33026674505723</v>
      </c>
      <c r="U9" s="18">
        <f>'SEI Scenario EST'!CU12</f>
        <v>14.597519986665361</v>
      </c>
      <c r="V9" s="18">
        <f>'SEI Scenario EST'!CZ12</f>
        <v>214.28519191451605</v>
      </c>
      <c r="W9" s="18">
        <f>'SEI Scenario EST'!DE12</f>
        <v>201.79128086351255</v>
      </c>
      <c r="X9" s="18">
        <f>'SEI Scenario EST'!DJ12</f>
        <v>315.74088308581963</v>
      </c>
      <c r="Y9" s="18">
        <f>'SEI Scenario EST'!DO12</f>
        <v>29.560314434552115</v>
      </c>
      <c r="Z9" s="18">
        <f>'SEI Scenario EST'!DT12</f>
        <v>24.426886812819756</v>
      </c>
      <c r="AA9" s="18">
        <f>'SEI Scenario EST'!DY12</f>
        <v>102.91393741287564</v>
      </c>
    </row>
    <row r="10" spans="1:27" x14ac:dyDescent="0.35">
      <c r="A10" s="47">
        <f t="shared" si="0"/>
        <v>2030</v>
      </c>
      <c r="B10" s="18">
        <f>'SEI Scenario EST'!P13</f>
        <v>27.7855565108412</v>
      </c>
      <c r="C10" s="18">
        <f>'SEI Scenario EST'!U13</f>
        <v>300.39554977424689</v>
      </c>
      <c r="D10" s="18">
        <f>'SEI Scenario EST'!Z13</f>
        <v>0</v>
      </c>
      <c r="E10" s="18">
        <f>'SEI Scenario EST'!AE13</f>
        <v>0</v>
      </c>
      <c r="G10" s="47">
        <f t="shared" si="1"/>
        <v>2030</v>
      </c>
      <c r="H10" s="18">
        <f>'SEI Scenario EST'!AN13</f>
        <v>1398.5718145278099</v>
      </c>
      <c r="I10" s="18">
        <f>'SEI Scenario EST'!AS13</f>
        <v>8.8881125125364537</v>
      </c>
      <c r="J10" s="18">
        <f>'SEI Scenario EST'!AX13</f>
        <v>408.48265869339969</v>
      </c>
      <c r="K10" s="18">
        <f>'SEI Scenario EST'!BC13</f>
        <v>320.51768649296622</v>
      </c>
      <c r="L10" s="18">
        <f>'SEI Scenario EST'!BH13</f>
        <v>2601.0296677003007</v>
      </c>
      <c r="N10" s="47">
        <f t="shared" si="2"/>
        <v>2030</v>
      </c>
      <c r="O10" s="18">
        <f>'SEI Scenario EST'!BQ13</f>
        <v>2.1020678819981815</v>
      </c>
      <c r="P10" s="18">
        <f>'SEI Scenario EST'!BV13</f>
        <v>74.998094002673398</v>
      </c>
      <c r="Q10" s="18">
        <f>'SEI Scenario EST'!CA13</f>
        <v>2.1663785632262784</v>
      </c>
      <c r="R10" s="18">
        <f>'SEI Scenario EST'!CF13</f>
        <v>96.061745910548979</v>
      </c>
      <c r="S10" s="18">
        <f>'SEI Scenario EST'!CK13</f>
        <v>29.930144538887276</v>
      </c>
      <c r="T10" s="18">
        <f>'SEI Scenario EST'!CP13</f>
        <v>169.78416843569727</v>
      </c>
      <c r="U10" s="18">
        <f>'SEI Scenario EST'!CU13</f>
        <v>14.616812463181756</v>
      </c>
      <c r="V10" s="18">
        <f>'SEI Scenario EST'!CZ13</f>
        <v>215.29713201680875</v>
      </c>
      <c r="W10" s="18">
        <f>'SEI Scenario EST'!DE13</f>
        <v>204.29193480645688</v>
      </c>
      <c r="X10" s="18">
        <f>'SEI Scenario EST'!DJ13</f>
        <v>317.09080602456174</v>
      </c>
      <c r="Y10" s="18">
        <f>'SEI Scenario EST'!DO13</f>
        <v>30.212196236059974</v>
      </c>
      <c r="Z10" s="18">
        <f>'SEI Scenario EST'!DT13</f>
        <v>24.541296864245918</v>
      </c>
      <c r="AA10" s="18">
        <f>'SEI Scenario EST'!DY13</f>
        <v>102.84229237252167</v>
      </c>
    </row>
    <row r="11" spans="1:27" x14ac:dyDescent="0.35">
      <c r="A11" s="47">
        <f t="shared" si="0"/>
        <v>2031</v>
      </c>
      <c r="B11" s="18">
        <f>'SEI Scenario EST'!P14</f>
        <v>29.229570835002988</v>
      </c>
      <c r="C11" s="18">
        <f>'SEI Scenario EST'!U14</f>
        <v>383.85872353126939</v>
      </c>
      <c r="D11" s="18">
        <f>'SEI Scenario EST'!Z14</f>
        <v>0</v>
      </c>
      <c r="E11" s="18">
        <f>'SEI Scenario EST'!AE14</f>
        <v>0</v>
      </c>
      <c r="G11" s="47">
        <f t="shared" si="1"/>
        <v>2031</v>
      </c>
      <c r="H11" s="18">
        <f>'SEI Scenario EST'!AN14</f>
        <v>1469.38049765808</v>
      </c>
      <c r="I11" s="18">
        <f>'SEI Scenario EST'!AS14</f>
        <v>8.902235836497276</v>
      </c>
      <c r="J11" s="18">
        <f>'SEI Scenario EST'!AX14</f>
        <v>418.29251331788151</v>
      </c>
      <c r="K11" s="18">
        <f>'SEI Scenario EST'!BC14</f>
        <v>327.78892540873966</v>
      </c>
      <c r="L11" s="18">
        <f>'SEI Scenario EST'!BH14</f>
        <v>2605.162973055018</v>
      </c>
      <c r="N11" s="47">
        <f t="shared" si="2"/>
        <v>2031</v>
      </c>
      <c r="O11" s="18">
        <f>'SEI Scenario EST'!BQ14</f>
        <v>2.1166003157505333</v>
      </c>
      <c r="P11" s="18">
        <f>'SEI Scenario EST'!BV14</f>
        <v>75.735218116369936</v>
      </c>
      <c r="Q11" s="18">
        <f>'SEI Scenario EST'!CA14</f>
        <v>2.2007484818989447</v>
      </c>
      <c r="R11" s="18">
        <f>'SEI Scenario EST'!CF14</f>
        <v>97.327961003963068</v>
      </c>
      <c r="S11" s="18">
        <f>'SEI Scenario EST'!CK14</f>
        <v>30.228540400442682</v>
      </c>
      <c r="T11" s="18">
        <f>'SEI Scenario EST'!CP14</f>
        <v>170.56276150733549</v>
      </c>
      <c r="U11" s="18">
        <f>'SEI Scenario EST'!CU14</f>
        <v>14.6585850250605</v>
      </c>
      <c r="V11" s="18">
        <f>'SEI Scenario EST'!CZ14</f>
        <v>216.84151013263883</v>
      </c>
      <c r="W11" s="18">
        <f>'SEI Scenario EST'!DE14</f>
        <v>207.72393315286979</v>
      </c>
      <c r="X11" s="18">
        <f>'SEI Scenario EST'!DJ14</f>
        <v>319.18604979586524</v>
      </c>
      <c r="Y11" s="18">
        <f>'SEI Scenario EST'!DO14</f>
        <v>31.07983849333667</v>
      </c>
      <c r="Z11" s="18">
        <f>'SEI Scenario EST'!DT14</f>
        <v>24.716138725144909</v>
      </c>
      <c r="AA11" s="18">
        <f>'SEI Scenario EST'!DY14</f>
        <v>102.87144716095881</v>
      </c>
    </row>
    <row r="12" spans="1:27" x14ac:dyDescent="0.35">
      <c r="A12" s="47">
        <f t="shared" si="0"/>
        <v>2032</v>
      </c>
      <c r="B12" s="18">
        <f>'SEI Scenario EST'!P15</f>
        <v>31.032678110707785</v>
      </c>
      <c r="C12" s="18">
        <f>'SEI Scenario EST'!U15</f>
        <v>489.72850091457593</v>
      </c>
      <c r="D12" s="18">
        <f>'SEI Scenario EST'!Z15</f>
        <v>0</v>
      </c>
      <c r="E12" s="18">
        <f>'SEI Scenario EST'!AE15</f>
        <v>0</v>
      </c>
      <c r="G12" s="47">
        <f t="shared" si="1"/>
        <v>2032</v>
      </c>
      <c r="H12" s="18">
        <f>'SEI Scenario EST'!AN15</f>
        <v>1558.8423916573352</v>
      </c>
      <c r="I12" s="18">
        <f>'SEI Scenario EST'!AS15</f>
        <v>8.9182858490120562</v>
      </c>
      <c r="J12" s="18">
        <f>'SEI Scenario EST'!AX15</f>
        <v>430.64184827283913</v>
      </c>
      <c r="K12" s="18">
        <f>'SEI Scenario EST'!BC15</f>
        <v>336.93877535340073</v>
      </c>
      <c r="L12" s="18">
        <f>'SEI Scenario EST'!BH15</f>
        <v>2609.8601704065318</v>
      </c>
      <c r="N12" s="47">
        <f t="shared" si="2"/>
        <v>2032</v>
      </c>
      <c r="O12" s="18">
        <f>'SEI Scenario EST'!BQ15</f>
        <v>2.1366832926329127</v>
      </c>
      <c r="P12" s="18">
        <f>'SEI Scenario EST'!BV15</f>
        <v>76.726865967821368</v>
      </c>
      <c r="Q12" s="18">
        <f>'SEI Scenario EST'!CA15</f>
        <v>2.2458494772391124</v>
      </c>
      <c r="R12" s="18">
        <f>'SEI Scenario EST'!CF15</f>
        <v>99.00339936243661</v>
      </c>
      <c r="S12" s="18">
        <f>'SEI Scenario EST'!CK15</f>
        <v>30.629603004432862</v>
      </c>
      <c r="T12" s="18">
        <f>'SEI Scenario EST'!CP15</f>
        <v>171.68756271095612</v>
      </c>
      <c r="U12" s="18">
        <f>'SEI Scenario EST'!CU15</f>
        <v>14.723636961967493</v>
      </c>
      <c r="V12" s="18">
        <f>'SEI Scenario EST'!CZ15</f>
        <v>218.96883825378265</v>
      </c>
      <c r="W12" s="18">
        <f>'SEI Scenario EST'!DE15</f>
        <v>212.21720261344399</v>
      </c>
      <c r="X12" s="18">
        <f>'SEI Scenario EST'!DJ15</f>
        <v>322.09353171264399</v>
      </c>
      <c r="Y12" s="18">
        <f>'SEI Scenario EST'!DO15</f>
        <v>32.197469962200593</v>
      </c>
      <c r="Z12" s="18">
        <f>'SEI Scenario EST'!DT15</f>
        <v>24.957120175151008</v>
      </c>
      <c r="AA12" s="18">
        <f>'SEI Scenario EST'!DY15</f>
        <v>102.99598652698685</v>
      </c>
    </row>
    <row r="13" spans="1:27" x14ac:dyDescent="0.35">
      <c r="A13" s="47">
        <f t="shared" si="0"/>
        <v>2033</v>
      </c>
      <c r="B13" s="18">
        <f>'SEI Scenario EST'!P16</f>
        <v>33.237447698364349</v>
      </c>
      <c r="C13" s="18">
        <f>'SEI Scenario EST'!U16</f>
        <v>621.41536860956057</v>
      </c>
      <c r="D13" s="18">
        <f>'SEI Scenario EST'!Z16</f>
        <v>0</v>
      </c>
      <c r="E13" s="18">
        <f>'SEI Scenario EST'!AE16</f>
        <v>0</v>
      </c>
      <c r="G13" s="47">
        <f t="shared" si="1"/>
        <v>2033</v>
      </c>
      <c r="H13" s="18">
        <f>'SEI Scenario EST'!AN16</f>
        <v>1669.643884992757</v>
      </c>
      <c r="I13" s="18">
        <f>'SEI Scenario EST'!AS16</f>
        <v>8.9357429887829962</v>
      </c>
      <c r="J13" s="18">
        <f>'SEI Scenario EST'!AX16</f>
        <v>445.87651390226131</v>
      </c>
      <c r="K13" s="18">
        <f>'SEI Scenario EST'!BC16</f>
        <v>348.22141166801691</v>
      </c>
      <c r="L13" s="18">
        <f>'SEI Scenario EST'!BH16</f>
        <v>2614.9692241391881</v>
      </c>
      <c r="N13" s="47">
        <f t="shared" si="2"/>
        <v>2033</v>
      </c>
      <c r="O13" s="18">
        <f>'SEI Scenario EST'!BQ16</f>
        <v>2.1629160822861544</v>
      </c>
      <c r="P13" s="18">
        <f>'SEI Scenario EST'!BV16</f>
        <v>78.002475388345118</v>
      </c>
      <c r="Q13" s="18">
        <f>'SEI Scenario EST'!CA16</f>
        <v>2.3030138106231792</v>
      </c>
      <c r="R13" s="18">
        <f>'SEI Scenario EST'!CF16</f>
        <v>101.13763521220042</v>
      </c>
      <c r="S13" s="18">
        <f>'SEI Scenario EST'!CK16</f>
        <v>31.145236072298736</v>
      </c>
      <c r="T13" s="18">
        <f>'SEI Scenario EST'!CP16</f>
        <v>173.19241163664304</v>
      </c>
      <c r="U13" s="18">
        <f>'SEI Scenario EST'!CU16</f>
        <v>14.813950785287375</v>
      </c>
      <c r="V13" s="18">
        <f>'SEI Scenario EST'!CZ16</f>
        <v>221.74255612120803</v>
      </c>
      <c r="W13" s="18">
        <f>'SEI Scenario EST'!DE16</f>
        <v>217.90441102413382</v>
      </c>
      <c r="X13" s="18">
        <f>'SEI Scenario EST'!DJ16</f>
        <v>325.90007777716988</v>
      </c>
      <c r="Y13" s="18">
        <f>'SEI Scenario EST'!DO16</f>
        <v>33.597980527044761</v>
      </c>
      <c r="Z13" s="18">
        <f>'SEI Scenario EST'!DT16</f>
        <v>25.271428409294376</v>
      </c>
      <c r="AA13" s="18">
        <f>'SEI Scenario EST'!DY16</f>
        <v>103.22010266788136</v>
      </c>
    </row>
    <row r="14" spans="1:27" x14ac:dyDescent="0.35">
      <c r="A14" s="47">
        <f t="shared" si="0"/>
        <v>2034</v>
      </c>
      <c r="B14" s="18">
        <f>'SEI Scenario EST'!P17</f>
        <v>35.867072978813034</v>
      </c>
      <c r="C14" s="18">
        <f>'SEI Scenario EST'!U17</f>
        <v>781.33689486844378</v>
      </c>
      <c r="D14" s="18">
        <f>'SEI Scenario EST'!Z17</f>
        <v>0</v>
      </c>
      <c r="E14" s="18">
        <f>'SEI Scenario EST'!AE17</f>
        <v>0</v>
      </c>
      <c r="G14" s="47">
        <f t="shared" si="1"/>
        <v>2034</v>
      </c>
      <c r="H14" s="18">
        <f>'SEI Scenario EST'!AN17</f>
        <v>1803.7068354099158</v>
      </c>
      <c r="I14" s="18">
        <f>'SEI Scenario EST'!AS17</f>
        <v>8.9546374889999054</v>
      </c>
      <c r="J14" s="18">
        <f>'SEI Scenario EST'!AX17</f>
        <v>464.25395822088007</v>
      </c>
      <c r="K14" s="18">
        <f>'SEI Scenario EST'!BC17</f>
        <v>361.82693169129766</v>
      </c>
      <c r="L14" s="18">
        <f>'SEI Scenario EST'!BH17</f>
        <v>2620.498988335065</v>
      </c>
      <c r="N14" s="47">
        <f t="shared" si="2"/>
        <v>2034</v>
      </c>
      <c r="O14" s="18">
        <f>'SEI Scenario EST'!BQ17</f>
        <v>2.1957741130146435</v>
      </c>
      <c r="P14" s="18">
        <f>'SEI Scenario EST'!BV17</f>
        <v>79.584249784942244</v>
      </c>
      <c r="Q14" s="18">
        <f>'SEI Scenario EST'!CA17</f>
        <v>2.3731963332014252</v>
      </c>
      <c r="R14" s="18">
        <f>'SEI Scenario EST'!CF17</f>
        <v>103.76682832623855</v>
      </c>
      <c r="S14" s="18">
        <f>'SEI Scenario EST'!CK17</f>
        <v>31.78440179872306</v>
      </c>
      <c r="T14" s="18">
        <f>'SEI Scenario EST'!CP17</f>
        <v>175.10623527785717</v>
      </c>
      <c r="U14" s="18">
        <f>'SEI Scenario EST'!CU17</f>
        <v>14.931411387435064</v>
      </c>
      <c r="V14" s="18">
        <f>'SEI Scenario EST'!CZ17</f>
        <v>225.21269890209521</v>
      </c>
      <c r="W14" s="18">
        <f>'SEI Scenario EST'!DE17</f>
        <v>224.88017752655966</v>
      </c>
      <c r="X14" s="18">
        <f>'SEI Scenario EST'!DJ17</f>
        <v>330.67508136360402</v>
      </c>
      <c r="Y14" s="18">
        <f>'SEI Scenario EST'!DO17</f>
        <v>35.303995156186772</v>
      </c>
      <c r="Z14" s="18">
        <f>'SEI Scenario EST'!DT17</f>
        <v>25.664738101665723</v>
      </c>
      <c r="AA14" s="18">
        <f>'SEI Scenario EST'!DY17</f>
        <v>103.5507109524895</v>
      </c>
    </row>
    <row r="15" spans="1:27" x14ac:dyDescent="0.35">
      <c r="A15" s="47">
        <f t="shared" si="0"/>
        <v>2035</v>
      </c>
      <c r="B15" s="18">
        <f>'SEI Scenario EST'!P18</f>
        <v>38.911191505850312</v>
      </c>
      <c r="C15" s="18">
        <f>'SEI Scenario EST'!U18</f>
        <v>970.03466174231107</v>
      </c>
      <c r="D15" s="18">
        <f>'SEI Scenario EST'!Z18</f>
        <v>0</v>
      </c>
      <c r="E15" s="18">
        <f>'SEI Scenario EST'!AE18</f>
        <v>0</v>
      </c>
      <c r="G15" s="47">
        <f t="shared" si="1"/>
        <v>2035</v>
      </c>
      <c r="H15" s="18">
        <f>'SEI Scenario EST'!AN18</f>
        <v>1961.4157919842096</v>
      </c>
      <c r="I15" s="18">
        <f>'SEI Scenario EST'!AS18</f>
        <v>8.9751734822843332</v>
      </c>
      <c r="J15" s="18">
        <f>'SEI Scenario EST'!AX18</f>
        <v>485.83063507802956</v>
      </c>
      <c r="K15" s="18">
        <f>'SEI Scenario EST'!BC18</f>
        <v>377.79744265170172</v>
      </c>
      <c r="L15" s="18">
        <f>'SEI Scenario EST'!BH18</f>
        <v>2626.5092018629775</v>
      </c>
      <c r="N15" s="47">
        <f t="shared" si="2"/>
        <v>2035</v>
      </c>
      <c r="O15" s="18">
        <f>'SEI Scenario EST'!BQ18</f>
        <v>2.2353225345364174</v>
      </c>
      <c r="P15" s="18">
        <f>'SEI Scenario EST'!BV18</f>
        <v>81.474755859261151</v>
      </c>
      <c r="Q15" s="18">
        <f>'SEI Scenario EST'!CA18</f>
        <v>2.4564856777960302</v>
      </c>
      <c r="R15" s="18">
        <f>'SEI Scenario EST'!CF18</f>
        <v>106.89462317097912</v>
      </c>
      <c r="S15" s="18">
        <f>'SEI Scenario EST'!CK18</f>
        <v>32.548129181956611</v>
      </c>
      <c r="T15" s="18">
        <f>'SEI Scenario EST'!CP18</f>
        <v>177.43385785538891</v>
      </c>
      <c r="U15" s="18">
        <f>'SEI Scenario EST'!CU18</f>
        <v>15.076406100148775</v>
      </c>
      <c r="V15" s="18">
        <f>'SEI Scenario EST'!CZ18</f>
        <v>229.38600132660139</v>
      </c>
      <c r="W15" s="18">
        <f>'SEI Scenario EST'!DE18</f>
        <v>233.1530718121567</v>
      </c>
      <c r="X15" s="18">
        <f>'SEI Scenario EST'!DJ18</f>
        <v>336.42826270374189</v>
      </c>
      <c r="Y15" s="18">
        <f>'SEI Scenario EST'!DO18</f>
        <v>37.317180230161846</v>
      </c>
      <c r="Z15" s="18">
        <f>'SEI Scenario EST'!DT18</f>
        <v>26.137815602524899</v>
      </c>
      <c r="AA15" s="18">
        <f>'SEI Scenario EST'!DY18</f>
        <v>103.99024322334678</v>
      </c>
    </row>
    <row r="16" spans="1:27" x14ac:dyDescent="0.35">
      <c r="A16" s="47">
        <f t="shared" si="0"/>
        <v>2036</v>
      </c>
      <c r="B16" s="18">
        <f>'SEI Scenario EST'!P19</f>
        <v>42.315055086700696</v>
      </c>
      <c r="C16" s="18">
        <f>'SEI Scenario EST'!U19</f>
        <v>1185.3222832556448</v>
      </c>
      <c r="D16" s="18">
        <f>'SEI Scenario EST'!Z19</f>
        <v>0</v>
      </c>
      <c r="E16" s="18">
        <f>'SEI Scenario EST'!AE19</f>
        <v>0</v>
      </c>
      <c r="G16" s="47">
        <f t="shared" si="1"/>
        <v>2036</v>
      </c>
      <c r="H16" s="18">
        <f>'SEI Scenario EST'!AN19</f>
        <v>2140.9055698527595</v>
      </c>
      <c r="I16" s="18">
        <f>'SEI Scenario EST'!AS19</f>
        <v>8.9975783816640966</v>
      </c>
      <c r="J16" s="18">
        <f>'SEI Scenario EST'!AX19</f>
        <v>510.36309205145045</v>
      </c>
      <c r="K16" s="18">
        <f>'SEI Scenario EST'!BC19</f>
        <v>395.9537286929073</v>
      </c>
      <c r="L16" s="18">
        <f>'SEI Scenario EST'!BH19</f>
        <v>2633.066408645589</v>
      </c>
      <c r="N16" s="47">
        <f t="shared" si="2"/>
        <v>2036</v>
      </c>
      <c r="O16" s="18">
        <f>'SEI Scenario EST'!BQ19</f>
        <v>2.2809957688265601</v>
      </c>
      <c r="P16" s="18">
        <f>'SEI Scenario EST'!BV19</f>
        <v>83.647007087823255</v>
      </c>
      <c r="Q16" s="18">
        <f>'SEI Scenario EST'!CA19</f>
        <v>2.5516951149652685</v>
      </c>
      <c r="R16" s="18">
        <f>'SEI Scenario EST'!CF19</f>
        <v>110.47642555115415</v>
      </c>
      <c r="S16" s="18">
        <f>'SEI Scenario EST'!CK19</f>
        <v>33.425516908472837</v>
      </c>
      <c r="T16" s="18">
        <f>'SEI Scenario EST'!CP19</f>
        <v>180.14190295037889</v>
      </c>
      <c r="U16" s="18">
        <f>'SEI Scenario EST'!CU19</f>
        <v>15.246847970298058</v>
      </c>
      <c r="V16" s="18">
        <f>'SEI Scenario EST'!CZ19</f>
        <v>234.20279405790902</v>
      </c>
      <c r="W16" s="18">
        <f>'SEI Scenario EST'!DE19</f>
        <v>242.60524052426385</v>
      </c>
      <c r="X16" s="18">
        <f>'SEI Scenario EST'!DJ19</f>
        <v>343.07732421771232</v>
      </c>
      <c r="Y16" s="18">
        <f>'SEI Scenario EST'!DO19</f>
        <v>39.608894285463784</v>
      </c>
      <c r="Z16" s="18">
        <f>'SEI Scenario EST'!DT19</f>
        <v>26.683896648141598</v>
      </c>
      <c r="AA16" s="18">
        <f>'SEI Scenario EST'!DY19</f>
        <v>104.53225966588303</v>
      </c>
    </row>
    <row r="17" spans="1:27" x14ac:dyDescent="0.35">
      <c r="A17" s="47">
        <f t="shared" si="0"/>
        <v>2037</v>
      </c>
      <c r="B17" s="18">
        <f>'SEI Scenario EST'!P20</f>
        <v>45.983501885548272</v>
      </c>
      <c r="C17" s="18">
        <f>'SEI Scenario EST'!U20</f>
        <v>1422.0012854891336</v>
      </c>
      <c r="D17" s="18">
        <f>'SEI Scenario EST'!Z20</f>
        <v>0</v>
      </c>
      <c r="E17" s="18">
        <f>'SEI Scenario EST'!AE20</f>
        <v>0</v>
      </c>
      <c r="G17" s="47">
        <f t="shared" si="1"/>
        <v>2037</v>
      </c>
      <c r="H17" s="18">
        <f>'SEI Scenario EST'!AN20</f>
        <v>2337.9973110603041</v>
      </c>
      <c r="I17" s="18">
        <f>'SEI Scenario EST'!AS20</f>
        <v>9.0233078358317815</v>
      </c>
      <c r="J17" s="18">
        <f>'SEI Scenario EST'!AX20</f>
        <v>537.3294836099592</v>
      </c>
      <c r="K17" s="18">
        <f>'SEI Scenario EST'!BC20</f>
        <v>415.91370645268375</v>
      </c>
      <c r="L17" s="18">
        <f>'SEI Scenario EST'!BH20</f>
        <v>2640.5965765775422</v>
      </c>
      <c r="N17" s="47">
        <f t="shared" si="2"/>
        <v>2037</v>
      </c>
      <c r="O17" s="18">
        <f>'SEI Scenario EST'!BQ20</f>
        <v>2.3318161625720277</v>
      </c>
      <c r="P17" s="18">
        <f>'SEI Scenario EST'!BV20</f>
        <v>86.051618470581815</v>
      </c>
      <c r="Q17" s="18">
        <f>'SEI Scenario EST'!CA20</f>
        <v>2.65653055979443</v>
      </c>
      <c r="R17" s="18">
        <f>'SEI Scenario EST'!CF20</f>
        <v>114.42761462374796</v>
      </c>
      <c r="S17" s="18">
        <f>'SEI Scenario EST'!CK20</f>
        <v>34.3965761688561</v>
      </c>
      <c r="T17" s="18">
        <f>'SEI Scenario EST'!CP20</f>
        <v>183.17762246662556</v>
      </c>
      <c r="U17" s="18">
        <f>'SEI Scenario EST'!CU20</f>
        <v>15.439871427853873</v>
      </c>
      <c r="V17" s="18">
        <f>'SEI Scenario EST'!CZ20</f>
        <v>239.55923302785573</v>
      </c>
      <c r="W17" s="18">
        <f>'SEI Scenario EST'!DE20</f>
        <v>253.00768616078597</v>
      </c>
      <c r="X17" s="18">
        <f>'SEI Scenario EST'!DJ20</f>
        <v>350.48122017694141</v>
      </c>
      <c r="Y17" s="18">
        <f>'SEI Scenario EST'!DO20</f>
        <v>42.121382954781922</v>
      </c>
      <c r="Z17" s="18">
        <f>'SEI Scenario EST'!DT20</f>
        <v>27.291223783219323</v>
      </c>
      <c r="AA17" s="18">
        <f>'SEI Scenario EST'!DY20</f>
        <v>105.1741620840192</v>
      </c>
    </row>
    <row r="18" spans="1:27" x14ac:dyDescent="0.35">
      <c r="A18" s="47">
        <f t="shared" si="0"/>
        <v>2038</v>
      </c>
      <c r="B18" s="18">
        <f>'SEI Scenario EST'!P21</f>
        <v>49.762382920709946</v>
      </c>
      <c r="C18" s="18">
        <f>'SEI Scenario EST'!U21</f>
        <v>1671.230222949129</v>
      </c>
      <c r="D18" s="18">
        <f>'SEI Scenario EST'!Z21</f>
        <v>0</v>
      </c>
      <c r="E18" s="18">
        <f>'SEI Scenario EST'!AE21</f>
        <v>0</v>
      </c>
      <c r="G18" s="47">
        <f t="shared" si="1"/>
        <v>2038</v>
      </c>
      <c r="H18" s="18">
        <f>'SEI Scenario EST'!AN21</f>
        <v>2544.9674534294259</v>
      </c>
      <c r="I18" s="18">
        <f>'SEI Scenario EST'!AS21</f>
        <v>9.0494154711344308</v>
      </c>
      <c r="J18" s="18">
        <f>'SEI Scenario EST'!AX21</f>
        <v>565.62472145708773</v>
      </c>
      <c r="K18" s="18">
        <f>'SEI Scenario EST'!BC21</f>
        <v>436.8553674162215</v>
      </c>
      <c r="L18" s="18">
        <f>'SEI Scenario EST'!BH21</f>
        <v>2648.2374497645674</v>
      </c>
      <c r="N18" s="47">
        <f t="shared" si="2"/>
        <v>2038</v>
      </c>
      <c r="O18" s="18">
        <f>'SEI Scenario EST'!BQ21</f>
        <v>2.3850169232601699</v>
      </c>
      <c r="P18" s="18">
        <f>'SEI Scenario EST'!BV21</f>
        <v>88.566762651415132</v>
      </c>
      <c r="Q18" s="18">
        <f>'SEI Scenario EST'!CA21</f>
        <v>2.7660904247821443</v>
      </c>
      <c r="R18" s="18">
        <f>'SEI Scenario EST'!CF21</f>
        <v>118.55809947910976</v>
      </c>
      <c r="S18" s="18">
        <f>'SEI Scenario EST'!CK21</f>
        <v>35.412241571608071</v>
      </c>
      <c r="T18" s="18">
        <f>'SEI Scenario EST'!CP21</f>
        <v>186.3593207682039</v>
      </c>
      <c r="U18" s="18">
        <f>'SEI Scenario EST'!CU21</f>
        <v>15.64250427176221</v>
      </c>
      <c r="V18" s="18">
        <f>'SEI Scenario EST'!CZ21</f>
        <v>245.16602483522098</v>
      </c>
      <c r="W18" s="18">
        <f>'SEI Scenario EST'!DE21</f>
        <v>263.87800472335539</v>
      </c>
      <c r="X18" s="18">
        <f>'SEI Scenario EST'!DJ21</f>
        <v>358.2328352604394</v>
      </c>
      <c r="Y18" s="18">
        <f>'SEI Scenario EST'!DO21</f>
        <v>44.74523699639338</v>
      </c>
      <c r="Z18" s="18">
        <f>'SEI Scenario EST'!DT21</f>
        <v>27.926947750855255</v>
      </c>
      <c r="AA18" s="18">
        <f>'SEI Scenario EST'!DY21</f>
        <v>105.85266819165679</v>
      </c>
    </row>
    <row r="19" spans="1:27" x14ac:dyDescent="0.35">
      <c r="A19" s="47">
        <f t="shared" si="0"/>
        <v>2039</v>
      </c>
      <c r="B19" s="18">
        <f>'SEI Scenario EST'!P22</f>
        <v>53.495378992410167</v>
      </c>
      <c r="C19" s="18">
        <f>'SEI Scenario EST'!U22</f>
        <v>1922.6158637023195</v>
      </c>
      <c r="D19" s="18">
        <f>'SEI Scenario EST'!Z22</f>
        <v>0</v>
      </c>
      <c r="E19" s="18">
        <f>'SEI Scenario EST'!AE22</f>
        <v>0</v>
      </c>
      <c r="G19" s="47">
        <f t="shared" si="1"/>
        <v>2039</v>
      </c>
      <c r="H19" s="18">
        <f>'SEI Scenario EST'!AN22</f>
        <v>2753.256033038494</v>
      </c>
      <c r="I19" s="18">
        <f>'SEI Scenario EST'!AS22</f>
        <v>9.0760612520426704</v>
      </c>
      <c r="J19" s="18">
        <f>'SEI Scenario EST'!AX22</f>
        <v>594.10947916578129</v>
      </c>
      <c r="K19" s="18">
        <f>'SEI Scenario EST'!BC22</f>
        <v>457.93807099501663</v>
      </c>
      <c r="L19" s="18">
        <f>'SEI Scenario EST'!BH22</f>
        <v>2656.0358108806449</v>
      </c>
      <c r="N19" s="47">
        <f t="shared" si="2"/>
        <v>2039</v>
      </c>
      <c r="O19" s="18">
        <f>'SEI Scenario EST'!BQ22</f>
        <v>2.4382152696016188</v>
      </c>
      <c r="P19" s="18">
        <f>'SEI Scenario EST'!BV22</f>
        <v>91.080592356876735</v>
      </c>
      <c r="Q19" s="18">
        <f>'SEI Scenario EST'!CA22</f>
        <v>2.8755388471246008</v>
      </c>
      <c r="R19" s="18">
        <f>'SEI Scenario EST'!CF22</f>
        <v>122.68509123078042</v>
      </c>
      <c r="S19" s="18">
        <f>'SEI Scenario EST'!CK22</f>
        <v>36.427358656301962</v>
      </c>
      <c r="T19" s="18">
        <f>'SEI Scenario EST'!CP22</f>
        <v>189.54304436162835</v>
      </c>
      <c r="U19" s="18">
        <f>'SEI Scenario EST'!CU22</f>
        <v>15.84545337449139</v>
      </c>
      <c r="V19" s="18">
        <f>'SEI Scenario EST'!CZ22</f>
        <v>250.77225505756391</v>
      </c>
      <c r="W19" s="18">
        <f>'SEI Scenario EST'!DE22</f>
        <v>274.73674172419561</v>
      </c>
      <c r="X19" s="18">
        <f>'SEI Scenario EST'!DJ22</f>
        <v>365.98463073386557</v>
      </c>
      <c r="Y19" s="18">
        <f>'SEI Scenario EST'!DO22</f>
        <v>47.365355171290553</v>
      </c>
      <c r="Z19" s="18">
        <f>'SEI Scenario EST'!DT22</f>
        <v>28.562614439502244</v>
      </c>
      <c r="AA19" s="18">
        <f>'SEI Scenario EST'!DY22</f>
        <v>106.53488691212374</v>
      </c>
    </row>
    <row r="20" spans="1:27" x14ac:dyDescent="0.35">
      <c r="A20" s="47">
        <f t="shared" si="0"/>
        <v>2040</v>
      </c>
      <c r="B20" s="18">
        <f>'SEI Scenario EST'!P23</f>
        <v>57.035708612222983</v>
      </c>
      <c r="C20" s="18">
        <f>'SEI Scenario EST'!U23</f>
        <v>2165.5440883027004</v>
      </c>
      <c r="D20" s="18">
        <f>'SEI Scenario EST'!Z23</f>
        <v>0</v>
      </c>
      <c r="E20" s="18">
        <f>'SEI Scenario EST'!AE23</f>
        <v>0</v>
      </c>
      <c r="G20" s="47">
        <f t="shared" si="1"/>
        <v>2040</v>
      </c>
      <c r="H20" s="18">
        <f>'SEI Scenario EST'!AN23</f>
        <v>2954.1325323345968</v>
      </c>
      <c r="I20" s="18">
        <f>'SEI Scenario EST'!AS23</f>
        <v>9.103148873643951</v>
      </c>
      <c r="J20" s="18">
        <f>'SEI Scenario EST'!AX23</f>
        <v>621.61525851355168</v>
      </c>
      <c r="K20" s="18">
        <f>'SEI Scenario EST'!BC23</f>
        <v>478.29909589716351</v>
      </c>
      <c r="L20" s="18">
        <f>'SEI Scenario EST'!BH23</f>
        <v>2663.9634471210134</v>
      </c>
      <c r="N20" s="47">
        <f t="shared" si="2"/>
        <v>2040</v>
      </c>
      <c r="O20" s="18">
        <f>'SEI Scenario EST'!BQ23</f>
        <v>2.488972429254297</v>
      </c>
      <c r="P20" s="18">
        <f>'SEI Scenario EST'!BV23</f>
        <v>93.47929364980493</v>
      </c>
      <c r="Q20" s="18">
        <f>'SEI Scenario EST'!CA23</f>
        <v>2.9799850095957106</v>
      </c>
      <c r="R20" s="18">
        <f>'SEI Scenario EST'!CF23</f>
        <v>126.62332764368408</v>
      </c>
      <c r="S20" s="18">
        <f>'SEI Scenario EST'!CK23</f>
        <v>37.395988707926676</v>
      </c>
      <c r="T20" s="18">
        <f>'SEI Scenario EST'!CP23</f>
        <v>192.58026131978852</v>
      </c>
      <c r="U20" s="18">
        <f>'SEI Scenario EST'!CU23</f>
        <v>16.039027867582238</v>
      </c>
      <c r="V20" s="18">
        <f>'SEI Scenario EST'!CZ23</f>
        <v>256.12128251177859</v>
      </c>
      <c r="W20" s="18">
        <f>'SEI Scenario EST'!DE23</f>
        <v>285.0992874751301</v>
      </c>
      <c r="X20" s="18">
        <f>'SEI Scenario EST'!DJ23</f>
        <v>373.38060803252898</v>
      </c>
      <c r="Y20" s="18">
        <f>'SEI Scenario EST'!DO23</f>
        <v>49.865924907281276</v>
      </c>
      <c r="Z20" s="18">
        <f>'SEI Scenario EST'!DT23</f>
        <v>29.169116785455202</v>
      </c>
      <c r="AA20" s="18">
        <f>'SEI Scenario EST'!DY23</f>
        <v>107.18509116918293</v>
      </c>
    </row>
    <row r="21" spans="1:27" x14ac:dyDescent="0.35">
      <c r="A21" s="47">
        <f t="shared" si="0"/>
        <v>2041</v>
      </c>
      <c r="B21" s="18">
        <f>'SEI Scenario EST'!P24</f>
        <v>60.269793738899992</v>
      </c>
      <c r="C21" s="18">
        <f>'SEI Scenario EST'!U24</f>
        <v>2390.9715636039409</v>
      </c>
      <c r="D21" s="18">
        <f>'SEI Scenario EST'!Z24</f>
        <v>0</v>
      </c>
      <c r="E21" s="18">
        <f>'SEI Scenario EST'!AE24</f>
        <v>0</v>
      </c>
      <c r="G21" s="47">
        <f t="shared" si="1"/>
        <v>2041</v>
      </c>
      <c r="H21" s="18">
        <f>'SEI Scenario EST'!AN24</f>
        <v>3140.1923831825984</v>
      </c>
      <c r="I21" s="18">
        <f>'SEI Scenario EST'!AS24</f>
        <v>9.1305325452303236</v>
      </c>
      <c r="J21" s="18">
        <f>'SEI Scenario EST'!AX24</f>
        <v>647.14942817774238</v>
      </c>
      <c r="K21" s="18">
        <f>'SEI Scenario EST'!BC24</f>
        <v>497.20542945899842</v>
      </c>
      <c r="L21" s="18">
        <f>'SEI Scenario EST'!BH24</f>
        <v>2671.977668679654</v>
      </c>
      <c r="N21" s="47">
        <f t="shared" si="2"/>
        <v>2041</v>
      </c>
      <c r="O21" s="18">
        <f>'SEI Scenario EST'!BQ24</f>
        <v>2.5352458127506128</v>
      </c>
      <c r="P21" s="18">
        <f>'SEI Scenario EST'!BV24</f>
        <v>95.667703849945127</v>
      </c>
      <c r="Q21" s="18">
        <f>'SEI Scenario EST'!CA24</f>
        <v>3.0753469847902219</v>
      </c>
      <c r="R21" s="18">
        <f>'SEI Scenario EST'!CF24</f>
        <v>130.21808874928553</v>
      </c>
      <c r="S21" s="18">
        <f>'SEI Scenario EST'!CK24</f>
        <v>38.279723610822089</v>
      </c>
      <c r="T21" s="18">
        <f>'SEI Scenario EST'!CP24</f>
        <v>195.34627619658332</v>
      </c>
      <c r="U21" s="18">
        <f>'SEI Scenario EST'!CU24</f>
        <v>16.21506726204127</v>
      </c>
      <c r="V21" s="18">
        <f>'SEI Scenario EST'!CZ24</f>
        <v>260.99819927578909</v>
      </c>
      <c r="W21" s="18">
        <f>'SEI Scenario EST'!DE24</f>
        <v>294.56125431689929</v>
      </c>
      <c r="X21" s="18">
        <f>'SEI Scenario EST'!DJ24</f>
        <v>380.12252937214822</v>
      </c>
      <c r="Y21" s="18">
        <f>'SEI Scenario EST'!DO24</f>
        <v>52.150435665367027</v>
      </c>
      <c r="Z21" s="18">
        <f>'SEI Scenario EST'!DT24</f>
        <v>29.722080055293446</v>
      </c>
      <c r="AA21" s="18">
        <f>'SEI Scenario EST'!DY24</f>
        <v>107.77285265084068</v>
      </c>
    </row>
    <row r="22" spans="1:27" x14ac:dyDescent="0.35">
      <c r="A22" s="47">
        <f t="shared" si="0"/>
        <v>2042</v>
      </c>
      <c r="B22" s="18">
        <f>'SEI Scenario EST'!P25</f>
        <v>63.129685480585522</v>
      </c>
      <c r="C22" s="18">
        <f>'SEI Scenario EST'!U25</f>
        <v>2592.6689453600493</v>
      </c>
      <c r="D22" s="18">
        <f>'SEI Scenario EST'!Z25</f>
        <v>0</v>
      </c>
      <c r="E22" s="18">
        <f>'SEI Scenario EST'!AE25</f>
        <v>0</v>
      </c>
      <c r="G22" s="47">
        <f t="shared" si="1"/>
        <v>2042</v>
      </c>
      <c r="H22" s="18">
        <f>'SEI Scenario EST'!AN25</f>
        <v>3306.3778151723332</v>
      </c>
      <c r="I22" s="18">
        <f>'SEI Scenario EST'!AS25</f>
        <v>9.1581052708551614</v>
      </c>
      <c r="J22" s="18">
        <f>'SEI Scenario EST'!AX25</f>
        <v>670.03377572334341</v>
      </c>
      <c r="K22" s="18">
        <f>'SEI Scenario EST'!BC25</f>
        <v>514.1562271447973</v>
      </c>
      <c r="L22" s="18">
        <f>'SEI Scenario EST'!BH25</f>
        <v>2680.0471467609968</v>
      </c>
      <c r="N22" s="47">
        <f t="shared" si="2"/>
        <v>2042</v>
      </c>
      <c r="O22" s="18">
        <f>'SEI Scenario EST'!BQ25</f>
        <v>2.5756779692163532</v>
      </c>
      <c r="P22" s="18">
        <f>'SEI Scenario EST'!BV25</f>
        <v>97.582604036854349</v>
      </c>
      <c r="Q22" s="18">
        <f>'SEI Scenario EST'!CA25</f>
        <v>3.1589141320134377</v>
      </c>
      <c r="R22" s="18">
        <f>'SEI Scenario EST'!CF25</f>
        <v>133.36661695862762</v>
      </c>
      <c r="S22" s="18">
        <f>'SEI Scenario EST'!CK25</f>
        <v>39.053048254916519</v>
      </c>
      <c r="T22" s="18">
        <f>'SEI Scenario EST'!CP25</f>
        <v>197.75817690254368</v>
      </c>
      <c r="U22" s="18">
        <f>'SEI Scenario EST'!CU25</f>
        <v>16.368141893250232</v>
      </c>
      <c r="V22" s="18">
        <f>'SEI Scenario EST'!CZ25</f>
        <v>265.2601892935798</v>
      </c>
      <c r="W22" s="18">
        <f>'SEI Scenario EST'!DE25</f>
        <v>302.8541156388265</v>
      </c>
      <c r="X22" s="18">
        <f>'SEI Scenario EST'!DJ25</f>
        <v>386.01218332106288</v>
      </c>
      <c r="Y22" s="18">
        <f>'SEI Scenario EST'!DO25</f>
        <v>54.154820439414458</v>
      </c>
      <c r="Z22" s="18">
        <f>'SEI Scenario EST'!DT25</f>
        <v>30.205306007373338</v>
      </c>
      <c r="AA22" s="18">
        <f>'SEI Scenario EST'!DY25</f>
        <v>108.27787566659569</v>
      </c>
    </row>
    <row r="23" spans="1:27" x14ac:dyDescent="0.35">
      <c r="A23" s="47">
        <f t="shared" si="0"/>
        <v>2043</v>
      </c>
      <c r="B23" s="18">
        <f>'SEI Scenario EST'!P26</f>
        <v>65.59103078201592</v>
      </c>
      <c r="C23" s="18">
        <f>'SEI Scenario EST'!U26</f>
        <v>2767.5340336258978</v>
      </c>
      <c r="D23" s="18">
        <f>'SEI Scenario EST'!Z26</f>
        <v>0</v>
      </c>
      <c r="E23" s="18">
        <f>'SEI Scenario EST'!AE26</f>
        <v>0</v>
      </c>
      <c r="G23" s="47">
        <f t="shared" si="1"/>
        <v>2043</v>
      </c>
      <c r="H23" s="18">
        <f>'SEI Scenario EST'!AN26</f>
        <v>3450.1879456252191</v>
      </c>
      <c r="I23" s="18">
        <f>'SEI Scenario EST'!AS26</f>
        <v>9.1855583465627006</v>
      </c>
      <c r="J23" s="18">
        <f>'SEI Scenario EST'!AX26</f>
        <v>689.92656991949241</v>
      </c>
      <c r="K23" s="18">
        <f>'SEI Scenario EST'!BC26</f>
        <v>528.89858350148165</v>
      </c>
      <c r="L23" s="18">
        <f>'SEI Scenario EST'!BH26</f>
        <v>2688.0815333665032</v>
      </c>
      <c r="N23" s="47">
        <f t="shared" si="2"/>
        <v>2043</v>
      </c>
      <c r="O23" s="18">
        <f>'SEI Scenario EST'!BQ26</f>
        <v>2.6095969590343469</v>
      </c>
      <c r="P23" s="18">
        <f>'SEI Scenario EST'!BV26</f>
        <v>99.193337254137475</v>
      </c>
      <c r="Q23" s="18">
        <f>'SEI Scenario EST'!CA26</f>
        <v>3.2294011372279421</v>
      </c>
      <c r="R23" s="18">
        <f>'SEI Scenario EST'!CF26</f>
        <v>136.01979997771002</v>
      </c>
      <c r="S23" s="18">
        <f>'SEI Scenario EST'!CK26</f>
        <v>39.703598938384403</v>
      </c>
      <c r="T23" s="18">
        <f>'SEI Scenario EST'!CP26</f>
        <v>199.77377139286477</v>
      </c>
      <c r="U23" s="18">
        <f>'SEI Scenario EST'!CU26</f>
        <v>16.495391499380446</v>
      </c>
      <c r="V23" s="18">
        <f>'SEI Scenario EST'!CZ26</f>
        <v>268.83672132657119</v>
      </c>
      <c r="W23" s="18">
        <f>'SEI Scenario EST'!DE26</f>
        <v>309.85083001997077</v>
      </c>
      <c r="X23" s="18">
        <f>'SEI Scenario EST'!DJ26</f>
        <v>390.95117282719985</v>
      </c>
      <c r="Y23" s="18">
        <f>'SEI Scenario EST'!DO26</f>
        <v>55.849283794794893</v>
      </c>
      <c r="Z23" s="18">
        <f>'SEI Scenario EST'!DT26</f>
        <v>30.610791569254932</v>
      </c>
      <c r="AA23" s="18">
        <f>'SEI Scenario EST'!DY26</f>
        <v>108.68812889054213</v>
      </c>
    </row>
    <row r="24" spans="1:27" x14ac:dyDescent="0.35">
      <c r="A24" s="47">
        <f t="shared" si="0"/>
        <v>2044</v>
      </c>
      <c r="B24" s="18">
        <f>'SEI Scenario EST'!P27</f>
        <v>67.666636228339428</v>
      </c>
      <c r="C24" s="18">
        <f>'SEI Scenario EST'!U27</f>
        <v>2915.3337024877528</v>
      </c>
      <c r="D24" s="18">
        <f>'SEI Scenario EST'!Z27</f>
        <v>0</v>
      </c>
      <c r="E24" s="18">
        <f>'SEI Scenario EST'!AE27</f>
        <v>0</v>
      </c>
      <c r="G24" s="47">
        <f t="shared" si="1"/>
        <v>2044</v>
      </c>
      <c r="H24" s="18">
        <f>'SEI Scenario EST'!AN27</f>
        <v>3571.5029403805311</v>
      </c>
      <c r="I24" s="18">
        <f>'SEI Scenario EST'!AS27</f>
        <v>9.212778800067607</v>
      </c>
      <c r="J24" s="18">
        <f>'SEI Scenario EST'!AX27</f>
        <v>706.8089873693151</v>
      </c>
      <c r="K24" s="18">
        <f>'SEI Scenario EST'!BC27</f>
        <v>541.41836272210605</v>
      </c>
      <c r="L24" s="18">
        <f>'SEI Scenario EST'!BH27</f>
        <v>2696.0477677773929</v>
      </c>
      <c r="N24" s="47">
        <f t="shared" si="2"/>
        <v>2044</v>
      </c>
      <c r="O24" s="18">
        <f>'SEI Scenario EST'!BQ27</f>
        <v>2.6370265654384042</v>
      </c>
      <c r="P24" s="18">
        <f>'SEI Scenario EST'!BV27</f>
        <v>100.50129058063183</v>
      </c>
      <c r="Q24" s="18">
        <f>'SEI Scenario EST'!CA27</f>
        <v>3.2868802797900787</v>
      </c>
      <c r="R24" s="18">
        <f>'SEI Scenario EST'!CF27</f>
        <v>138.18020776526978</v>
      </c>
      <c r="S24" s="18">
        <f>'SEI Scenario EST'!CK27</f>
        <v>40.231939622649499</v>
      </c>
      <c r="T24" s="18">
        <f>'SEI Scenario EST'!CP27</f>
        <v>201.39400720342547</v>
      </c>
      <c r="U24" s="18">
        <f>'SEI Scenario EST'!CU27</f>
        <v>16.596835441468276</v>
      </c>
      <c r="V24" s="18">
        <f>'SEI Scenario EST'!CZ27</f>
        <v>271.730369090431</v>
      </c>
      <c r="W24" s="18">
        <f>'SEI Scenario EST'!DE27</f>
        <v>315.55868365115714</v>
      </c>
      <c r="X24" s="18">
        <f>'SEI Scenario EST'!DJ27</f>
        <v>394.9428467606358</v>
      </c>
      <c r="Y24" s="18">
        <f>'SEI Scenario EST'!DO27</f>
        <v>57.235790247512654</v>
      </c>
      <c r="Z24" s="18">
        <f>'SEI Scenario EST'!DT27</f>
        <v>30.938827160933428</v>
      </c>
      <c r="AA24" s="18">
        <f>'SEI Scenario EST'!DY27</f>
        <v>109.00309640732381</v>
      </c>
    </row>
    <row r="25" spans="1:27" x14ac:dyDescent="0.35">
      <c r="A25" s="47">
        <f t="shared" si="0"/>
        <v>2045</v>
      </c>
      <c r="B25" s="18">
        <f>'SEI Scenario EST'!P28</f>
        <v>69.391856745795224</v>
      </c>
      <c r="C25" s="18">
        <f>'SEI Scenario EST'!U28</f>
        <v>3037.8360672358062</v>
      </c>
      <c r="D25" s="18">
        <f>'SEI Scenario EST'!Z28</f>
        <v>0</v>
      </c>
      <c r="E25" s="18">
        <f>'SEI Scenario EST'!AE28</f>
        <v>0</v>
      </c>
      <c r="G25" s="47">
        <f t="shared" si="1"/>
        <v>2045</v>
      </c>
      <c r="H25" s="18">
        <f>'SEI Scenario EST'!AN28</f>
        <v>3671.8230696412265</v>
      </c>
      <c r="I25" s="18">
        <f>'SEI Scenario EST'!AS28</f>
        <v>9.239554530499845</v>
      </c>
      <c r="J25" s="18">
        <f>'SEI Scenario EST'!AX28</f>
        <v>720.87612237947587</v>
      </c>
      <c r="K25" s="18">
        <f>'SEI Scenario EST'!BC28</f>
        <v>551.85911833071134</v>
      </c>
      <c r="L25" s="18">
        <f>'SEI Scenario EST'!BH28</f>
        <v>2703.8837857778317</v>
      </c>
      <c r="N25" s="47">
        <f t="shared" si="2"/>
        <v>2045</v>
      </c>
      <c r="O25" s="18">
        <f>'SEI Scenario EST'!BQ28</f>
        <v>2.6584127589966733</v>
      </c>
      <c r="P25" s="18">
        <f>'SEI Scenario EST'!BV28</f>
        <v>101.52783884225197</v>
      </c>
      <c r="Q25" s="18">
        <f>'SEI Scenario EST'!CA28</f>
        <v>3.3322957806631925</v>
      </c>
      <c r="R25" s="18">
        <f>'SEI Scenario EST'!CF28</f>
        <v>139.88326644517792</v>
      </c>
      <c r="S25" s="18">
        <f>'SEI Scenario EST'!CK28</f>
        <v>40.646706131789884</v>
      </c>
      <c r="T25" s="18">
        <f>'SEI Scenario EST'!CP28</f>
        <v>202.64502998663301</v>
      </c>
      <c r="U25" s="18">
        <f>'SEI Scenario EST'!CU28</f>
        <v>16.674093470333052</v>
      </c>
      <c r="V25" s="18">
        <f>'SEI Scenario EST'!CZ28</f>
        <v>273.98820755633778</v>
      </c>
      <c r="W25" s="18">
        <f>'SEI Scenario EST'!DE28</f>
        <v>320.07148741791696</v>
      </c>
      <c r="X25" s="18">
        <f>'SEI Scenario EST'!DJ28</f>
        <v>398.052056271597</v>
      </c>
      <c r="Y25" s="18">
        <f>'SEI Scenario EST'!DO28</f>
        <v>58.337211565176901</v>
      </c>
      <c r="Z25" s="18">
        <f>'SEI Scenario EST'!DT28</f>
        <v>31.194748810047962</v>
      </c>
      <c r="AA25" s="18">
        <f>'SEI Scenario EST'!DY28</f>
        <v>109.22755874044222</v>
      </c>
    </row>
    <row r="26" spans="1:27" x14ac:dyDescent="0.35">
      <c r="A26" s="47">
        <f t="shared" si="0"/>
        <v>2046</v>
      </c>
      <c r="B26" s="18">
        <f>'SEI Scenario EST'!P29</f>
        <v>70.815098212633174</v>
      </c>
      <c r="C26" s="18">
        <f>'SEI Scenario EST'!U29</f>
        <v>3138.0478273430926</v>
      </c>
      <c r="D26" s="18">
        <f>'SEI Scenario EST'!Z29</f>
        <v>0</v>
      </c>
      <c r="E26" s="18">
        <f>'SEI Scenario EST'!AE29</f>
        <v>0</v>
      </c>
      <c r="G26" s="47">
        <f t="shared" si="1"/>
        <v>2046</v>
      </c>
      <c r="H26" s="18">
        <f>'SEI Scenario EST'!AN29</f>
        <v>3753.6782803811702</v>
      </c>
      <c r="I26" s="18">
        <f>'SEI Scenario EST'!AS29</f>
        <v>9.2658933490203079</v>
      </c>
      <c r="J26" s="18">
        <f>'SEI Scenario EST'!AX29</f>
        <v>732.46608349169026</v>
      </c>
      <c r="K26" s="18">
        <f>'SEI Scenario EST'!BC29</f>
        <v>560.47043850526836</v>
      </c>
      <c r="L26" s="18">
        <f>'SEI Scenario EST'!BH29</f>
        <v>2711.5918819413687</v>
      </c>
      <c r="N26" s="47">
        <f t="shared" si="2"/>
        <v>2046</v>
      </c>
      <c r="O26" s="18">
        <f>'SEI Scenario EST'!BQ29</f>
        <v>2.6745126885566015</v>
      </c>
      <c r="P26" s="18">
        <f>'SEI Scenario EST'!BV29</f>
        <v>102.30836267431712</v>
      </c>
      <c r="Q26" s="18">
        <f>'SEI Scenario EST'!CA29</f>
        <v>3.3671701034996904</v>
      </c>
      <c r="R26" s="18">
        <f>'SEI Scenario EST'!CF29</f>
        <v>141.18661870469307</v>
      </c>
      <c r="S26" s="18">
        <f>'SEI Scenario EST'!CK29</f>
        <v>40.962179824083805</v>
      </c>
      <c r="T26" s="18">
        <f>'SEI Scenario EST'!CP29</f>
        <v>203.57287099007644</v>
      </c>
      <c r="U26" s="18">
        <f>'SEI Scenario EST'!CU29</f>
        <v>16.730161877578045</v>
      </c>
      <c r="V26" s="18">
        <f>'SEI Scenario EST'!CZ29</f>
        <v>275.68992601396729</v>
      </c>
      <c r="W26" s="18">
        <f>'SEI Scenario EST'!DE29</f>
        <v>323.54011604647513</v>
      </c>
      <c r="X26" s="18">
        <f>'SEI Scenario EST'!DJ29</f>
        <v>400.38930556211636</v>
      </c>
      <c r="Y26" s="18">
        <f>'SEI Scenario EST'!DO29</f>
        <v>59.189640698229205</v>
      </c>
      <c r="Z26" s="18">
        <f>'SEI Scenario EST'!DT29</f>
        <v>31.387594266278189</v>
      </c>
      <c r="AA26" s="18">
        <f>'SEI Scenario EST'!DY29</f>
        <v>109.37246559945704</v>
      </c>
    </row>
    <row r="27" spans="1:27" x14ac:dyDescent="0.35">
      <c r="A27" s="47">
        <f t="shared" si="0"/>
        <v>2047</v>
      </c>
      <c r="B27" s="18">
        <f>'SEI Scenario EST'!P30</f>
        <v>71.986244187592277</v>
      </c>
      <c r="C27" s="18">
        <f>'SEI Scenario EST'!U30</f>
        <v>3219.3793572691566</v>
      </c>
      <c r="D27" s="18">
        <f>'SEI Scenario EST'!Z30</f>
        <v>0</v>
      </c>
      <c r="E27" s="18">
        <f>'SEI Scenario EST'!AE30</f>
        <v>0</v>
      </c>
      <c r="G27" s="47">
        <f t="shared" si="1"/>
        <v>2047</v>
      </c>
      <c r="H27" s="18">
        <f>'SEI Scenario EST'!AN30</f>
        <v>3819.8960552912449</v>
      </c>
      <c r="I27" s="18">
        <f>'SEI Scenario EST'!AS30</f>
        <v>9.2916630957797821</v>
      </c>
      <c r="J27" s="18">
        <f>'SEI Scenario EST'!AX30</f>
        <v>741.95322869667496</v>
      </c>
      <c r="K27" s="18">
        <f>'SEI Scenario EST'!BC30</f>
        <v>567.52836937836207</v>
      </c>
      <c r="L27" s="18">
        <f>'SEI Scenario EST'!BH30</f>
        <v>2719.1333906295381</v>
      </c>
      <c r="N27" s="47">
        <f t="shared" si="2"/>
        <v>2047</v>
      </c>
      <c r="O27" s="18">
        <f>'SEI Scenario EST'!BQ30</f>
        <v>2.6861269869183673</v>
      </c>
      <c r="P27" s="18">
        <f>'SEI Scenario EST'!BV30</f>
        <v>102.88061993441994</v>
      </c>
      <c r="Q27" s="18">
        <f>'SEI Scenario EST'!CA30</f>
        <v>3.3931437746363158</v>
      </c>
      <c r="R27" s="18">
        <f>'SEI Scenario EST'!CF30</f>
        <v>142.15216857553648</v>
      </c>
      <c r="S27" s="18">
        <f>'SEI Scenario EST'!CK30</f>
        <v>41.193606715957166</v>
      </c>
      <c r="T27" s="18">
        <f>'SEI Scenario EST'!CP30</f>
        <v>204.22558099063048</v>
      </c>
      <c r="U27" s="18">
        <f>'SEI Scenario EST'!CU30</f>
        <v>16.768115419792384</v>
      </c>
      <c r="V27" s="18">
        <f>'SEI Scenario EST'!CZ30</f>
        <v>276.91987875010568</v>
      </c>
      <c r="W27" s="18">
        <f>'SEI Scenario EST'!DE30</f>
        <v>326.12729866152688</v>
      </c>
      <c r="X27" s="18">
        <f>'SEI Scenario EST'!DJ30</f>
        <v>402.07129214412259</v>
      </c>
      <c r="Y27" s="18">
        <f>'SEI Scenario EST'!DO30</f>
        <v>59.832283811799677</v>
      </c>
      <c r="Z27" s="18">
        <f>'SEI Scenario EST'!DT30</f>
        <v>31.526928505328648</v>
      </c>
      <c r="AA27" s="18">
        <f>'SEI Scenario EST'!DY30</f>
        <v>109.44831877505686</v>
      </c>
    </row>
    <row r="28" spans="1:27" x14ac:dyDescent="0.35">
      <c r="A28" s="47">
        <f t="shared" si="0"/>
        <v>2048</v>
      </c>
      <c r="B28" s="18">
        <f>'SEI Scenario EST'!P31</f>
        <v>72.952385369565192</v>
      </c>
      <c r="C28" s="18">
        <f>'SEI Scenario EST'!U31</f>
        <v>3285.2071731555047</v>
      </c>
      <c r="D28" s="18">
        <f>'SEI Scenario EST'!Z31</f>
        <v>0</v>
      </c>
      <c r="E28" s="18">
        <f>'SEI Scenario EST'!AE31</f>
        <v>0</v>
      </c>
      <c r="G28" s="47">
        <f t="shared" si="1"/>
        <v>2048</v>
      </c>
      <c r="H28" s="18">
        <f>'SEI Scenario EST'!AN31</f>
        <v>3873.2671560304766</v>
      </c>
      <c r="I28" s="18">
        <f>'SEI Scenario EST'!AS31</f>
        <v>9.3167717275745208</v>
      </c>
      <c r="J28" s="18">
        <f>'SEI Scenario EST'!AX31</f>
        <v>749.70801188482017</v>
      </c>
      <c r="K28" s="18">
        <f>'SEI Scenario EST'!BC31</f>
        <v>573.30616106742514</v>
      </c>
      <c r="L28" s="18">
        <f>'SEI Scenario EST'!BH31</f>
        <v>2726.4813858469429</v>
      </c>
      <c r="N28" s="47">
        <f t="shared" si="2"/>
        <v>2048</v>
      </c>
      <c r="O28" s="18">
        <f>'SEI Scenario EST'!BQ31</f>
        <v>2.6940411320567259</v>
      </c>
      <c r="P28" s="18">
        <f>'SEI Scenario EST'!BV31</f>
        <v>103.28155663695145</v>
      </c>
      <c r="Q28" s="18">
        <f>'SEI Scenario EST'!CA31</f>
        <v>3.4118176510880249</v>
      </c>
      <c r="R28" s="18">
        <f>'SEI Scenario EST'!CF31</f>
        <v>142.84038081316945</v>
      </c>
      <c r="S28" s="18">
        <f>'SEI Scenario EST'!CK31</f>
        <v>41.355903594301083</v>
      </c>
      <c r="T28" s="18">
        <f>'SEI Scenario EST'!CP31</f>
        <v>204.65047682267584</v>
      </c>
      <c r="U28" s="18">
        <f>'SEI Scenario EST'!CU31</f>
        <v>16.790996991454001</v>
      </c>
      <c r="V28" s="18">
        <f>'SEI Scenario EST'!CZ31</f>
        <v>277.76079849010841</v>
      </c>
      <c r="W28" s="18">
        <f>'SEI Scenario EST'!DE31</f>
        <v>327.99178680321069</v>
      </c>
      <c r="X28" s="18">
        <f>'SEI Scenario EST'!DJ31</f>
        <v>403.21254768174367</v>
      </c>
      <c r="Y28" s="18">
        <f>'SEI Scenario EST'!DO31</f>
        <v>60.303312252807892</v>
      </c>
      <c r="Z28" s="18">
        <f>'SEI Scenario EST'!DT31</f>
        <v>31.622133150999577</v>
      </c>
      <c r="AA28" s="18">
        <f>'SEI Scenario EST'!DY31</f>
        <v>109.46572422278464</v>
      </c>
    </row>
    <row r="29" spans="1:27" x14ac:dyDescent="0.35">
      <c r="A29" s="47">
        <f t="shared" si="0"/>
        <v>2049</v>
      </c>
      <c r="B29" s="18">
        <f>'SEI Scenario EST'!P32</f>
        <v>73.75495936678135</v>
      </c>
      <c r="C29" s="18">
        <f>'SEI Scenario EST'!U32</f>
        <v>3338.592098664898</v>
      </c>
      <c r="D29" s="18">
        <f>'SEI Scenario EST'!Z32</f>
        <v>0</v>
      </c>
      <c r="E29" s="18">
        <f>'SEI Scenario EST'!AE32</f>
        <v>0</v>
      </c>
      <c r="G29" s="47">
        <f t="shared" si="1"/>
        <v>2049</v>
      </c>
      <c r="H29" s="18">
        <f>'SEI Scenario EST'!AN32</f>
        <v>3916.3163596773511</v>
      </c>
      <c r="I29" s="18">
        <f>'SEI Scenario EST'!AS32</f>
        <v>9.3411610891783408</v>
      </c>
      <c r="J29" s="18">
        <f>'SEI Scenario EST'!AX32</f>
        <v>756.06620578620334</v>
      </c>
      <c r="K29" s="18">
        <f>'SEI Scenario EST'!BC32</f>
        <v>578.05153657683854</v>
      </c>
      <c r="L29" s="18">
        <f>'SEI Scenario EST'!BH32</f>
        <v>2733.6188576893551</v>
      </c>
      <c r="N29" s="47">
        <f t="shared" si="2"/>
        <v>2049</v>
      </c>
      <c r="O29" s="18">
        <f>'SEI Scenario EST'!BQ32</f>
        <v>2.6989632912372112</v>
      </c>
      <c r="P29" s="18">
        <f>'SEI Scenario EST'!BV32</f>
        <v>103.54441683176117</v>
      </c>
      <c r="Q29" s="18">
        <f>'SEI Scenario EST'!CA32</f>
        <v>3.4246292109883925</v>
      </c>
      <c r="R29" s="18">
        <f>'SEI Scenario EST'!CF32</f>
        <v>143.30558840189516</v>
      </c>
      <c r="S29" s="18">
        <f>'SEI Scenario EST'!CK32</f>
        <v>41.462491633563275</v>
      </c>
      <c r="T29" s="18">
        <f>'SEI Scenario EST'!CP32</f>
        <v>204.8903366469815</v>
      </c>
      <c r="U29" s="18">
        <f>'SEI Scenario EST'!CU32</f>
        <v>16.801567763348324</v>
      </c>
      <c r="V29" s="18">
        <f>'SEI Scenario EST'!CZ32</f>
        <v>278.28725821357256</v>
      </c>
      <c r="W29" s="18">
        <f>'SEI Scenario EST'!DE32</f>
        <v>329.27610134494734</v>
      </c>
      <c r="X29" s="18">
        <f>'SEI Scenario EST'!DJ32</f>
        <v>403.91636011666503</v>
      </c>
      <c r="Y29" s="18">
        <f>'SEI Scenario EST'!DO32</f>
        <v>60.636942835442525</v>
      </c>
      <c r="Z29" s="18">
        <f>'SEI Scenario EST'!DT32</f>
        <v>31.681664887782006</v>
      </c>
      <c r="AA29" s="18">
        <f>'SEI Scenario EST'!DY32</f>
        <v>109.43444843691422</v>
      </c>
    </row>
    <row r="30" spans="1:27" x14ac:dyDescent="0.35">
      <c r="A30" s="47">
        <f t="shared" si="0"/>
        <v>2050</v>
      </c>
      <c r="B30" s="18">
        <f>'SEI Scenario EST'!P33</f>
        <v>74.427817622638145</v>
      </c>
      <c r="C30" s="18">
        <f>'SEI Scenario EST'!U33</f>
        <v>3382.1126619570327</v>
      </c>
      <c r="D30" s="18">
        <f>'SEI Scenario EST'!Z33</f>
        <v>0</v>
      </c>
      <c r="E30" s="18">
        <f>'SEI Scenario EST'!AE33</f>
        <v>0</v>
      </c>
      <c r="G30" s="47">
        <f t="shared" si="1"/>
        <v>2050</v>
      </c>
      <c r="H30" s="18">
        <f>'SEI Scenario EST'!AN33</f>
        <v>3951.1527248724783</v>
      </c>
      <c r="I30" s="18">
        <f>'SEI Scenario EST'!AS33</f>
        <v>9.3646799417306976</v>
      </c>
      <c r="J30" s="18">
        <f>'SEI Scenario EST'!AX33</f>
        <v>761.3057358424187</v>
      </c>
      <c r="K30" s="18">
        <f>'SEI Scenario EST'!BC33</f>
        <v>581.96932052021657</v>
      </c>
      <c r="L30" s="18">
        <f>'SEI Scenario EST'!BH33</f>
        <v>2740.5015547471016</v>
      </c>
      <c r="N30" s="47">
        <f t="shared" si="2"/>
        <v>2050</v>
      </c>
      <c r="O30" s="18">
        <f>'SEI Scenario EST'!BQ33</f>
        <v>2.7014635508923908</v>
      </c>
      <c r="P30" s="18">
        <f>'SEI Scenario EST'!BV33</f>
        <v>103.69620910465156</v>
      </c>
      <c r="Q30" s="18">
        <f>'SEI Scenario EST'!CA33</f>
        <v>3.4327575193468181</v>
      </c>
      <c r="R30" s="18">
        <f>'SEI Scenario EST'!CF33</f>
        <v>143.59220934570899</v>
      </c>
      <c r="S30" s="18">
        <f>'SEI Scenario EST'!CK33</f>
        <v>41.524278269615685</v>
      </c>
      <c r="T30" s="18">
        <f>'SEI Scenario EST'!CP33</f>
        <v>204.97915189854407</v>
      </c>
      <c r="U30" s="18">
        <f>'SEI Scenario EST'!CU33</f>
        <v>16.801983669013232</v>
      </c>
      <c r="V30" s="18">
        <f>'SEI Scenario EST'!CZ33</f>
        <v>278.55935350237843</v>
      </c>
      <c r="W30" s="18">
        <f>'SEI Scenario EST'!DE33</f>
        <v>330.09725170881813</v>
      </c>
      <c r="X30" s="18">
        <f>'SEI Scenario EST'!DJ33</f>
        <v>404.26576864183437</v>
      </c>
      <c r="Y30" s="18">
        <f>'SEI Scenario EST'!DO33</f>
        <v>60.861463625710343</v>
      </c>
      <c r="Z30" s="18">
        <f>'SEI Scenario EST'!DT33</f>
        <v>31.71233732722941</v>
      </c>
      <c r="AA30" s="18">
        <f>'SEI Scenario EST'!DY33</f>
        <v>109.3615846377496</v>
      </c>
    </row>
    <row r="32" spans="1:27" ht="18" customHeight="1" x14ac:dyDescent="0.35">
      <c r="A32" s="33" t="s">
        <v>16</v>
      </c>
    </row>
    <row r="33" spans="1:27" ht="52" x14ac:dyDescent="0.35">
      <c r="A33" s="28" t="s">
        <v>73</v>
      </c>
      <c r="B33" s="11" t="s">
        <v>220</v>
      </c>
      <c r="C33" s="11" t="s">
        <v>221</v>
      </c>
      <c r="D33" s="11" t="s">
        <v>158</v>
      </c>
      <c r="E33" s="11" t="s">
        <v>175</v>
      </c>
      <c r="F33" s="7"/>
      <c r="G33" s="28" t="s">
        <v>73</v>
      </c>
      <c r="H33" s="11" t="s">
        <v>159</v>
      </c>
      <c r="I33" s="11" t="s">
        <v>160</v>
      </c>
      <c r="J33" s="11" t="s">
        <v>161</v>
      </c>
      <c r="K33" s="11" t="s">
        <v>162</v>
      </c>
      <c r="L33" s="11" t="s">
        <v>179</v>
      </c>
      <c r="M33" s="7"/>
      <c r="N33" s="28" t="s">
        <v>73</v>
      </c>
      <c r="O33" s="11" t="s">
        <v>31</v>
      </c>
      <c r="P33" s="11" t="s">
        <v>33</v>
      </c>
      <c r="Q33" s="11" t="s">
        <v>34</v>
      </c>
      <c r="R33" s="11" t="s">
        <v>164</v>
      </c>
      <c r="S33" s="11" t="s">
        <v>36</v>
      </c>
      <c r="T33" s="11" t="s">
        <v>37</v>
      </c>
      <c r="U33" s="11" t="s">
        <v>38</v>
      </c>
      <c r="V33" s="11" t="s">
        <v>40</v>
      </c>
      <c r="W33" s="11" t="s">
        <v>41</v>
      </c>
      <c r="X33" s="11" t="s">
        <v>42</v>
      </c>
      <c r="Y33" s="11" t="s">
        <v>43</v>
      </c>
      <c r="Z33" s="11" t="s">
        <v>44</v>
      </c>
      <c r="AA33" s="11" t="s">
        <v>45</v>
      </c>
    </row>
    <row r="34" spans="1:27" x14ac:dyDescent="0.35">
      <c r="A34" s="47">
        <v>2024</v>
      </c>
      <c r="B34" s="18">
        <f>'SEI Scenario LAT'!P7</f>
        <v>83.990110542916199</v>
      </c>
      <c r="C34" s="18">
        <f>'SEI Scenario LAT'!U7</f>
        <v>53.022352941176479</v>
      </c>
      <c r="D34" s="18">
        <f>'SEI Scenario LAT'!Z7</f>
        <v>0</v>
      </c>
      <c r="E34" s="18">
        <f>'SEI Scenario LAT'!AE7</f>
        <v>0</v>
      </c>
      <c r="G34" s="47">
        <v>2024</v>
      </c>
      <c r="H34" s="18">
        <f>'SEI Scenario LAT'!AN7</f>
        <v>616.52569358743392</v>
      </c>
      <c r="I34" s="18">
        <f>'SEI Scenario LAT'!AS7</f>
        <v>13.806161584191488</v>
      </c>
      <c r="J34" s="18">
        <f>'SEI Scenario LAT'!AX7</f>
        <v>1394.8445592713522</v>
      </c>
      <c r="K34" s="18">
        <f>'SEI Scenario LAT'!BC7</f>
        <v>190.17312065811302</v>
      </c>
      <c r="L34" s="18">
        <f>'SEI Scenario LAT'!BH7</f>
        <v>2401.9140147918952</v>
      </c>
      <c r="N34" s="47">
        <v>2024</v>
      </c>
      <c r="O34" s="18">
        <f>'SEI Scenario LAT'!BQ7</f>
        <v>14.449841538244639</v>
      </c>
      <c r="P34" s="18">
        <f>'SEI Scenario LAT'!BV7</f>
        <v>90.532813983906777</v>
      </c>
      <c r="Q34" s="18">
        <f>'SEI Scenario LAT'!CA7</f>
        <v>11.368457199970784</v>
      </c>
      <c r="R34" s="18">
        <f>'SEI Scenario LAT'!CF7</f>
        <v>313.4867588696473</v>
      </c>
      <c r="S34" s="18">
        <f>'SEI Scenario LAT'!CK7</f>
        <v>43.553135523305357</v>
      </c>
      <c r="T34" s="18">
        <f>'SEI Scenario LAT'!CP7</f>
        <v>2.3215756200559041</v>
      </c>
      <c r="U34" s="18">
        <f>'SEI Scenario LAT'!CU7</f>
        <v>13.798722162171217</v>
      </c>
      <c r="V34" s="18">
        <f>'SEI Scenario LAT'!CZ7</f>
        <v>304.21320748834756</v>
      </c>
      <c r="W34" s="18">
        <f>'SEI Scenario LAT'!DE7</f>
        <v>27.207643761408857</v>
      </c>
      <c r="X34" s="18">
        <f>'SEI Scenario LAT'!DJ7</f>
        <v>840.42525728223814</v>
      </c>
      <c r="Y34" s="18">
        <f>'SEI Scenario LAT'!DO7</f>
        <v>62.714337496783557</v>
      </c>
      <c r="Z34" s="18">
        <f>'SEI Scenario LAT'!DT7</f>
        <v>21.413987908421166</v>
      </c>
      <c r="AA34" s="18">
        <f>'SEI Scenario LAT'!DY7</f>
        <v>116.09088273737046</v>
      </c>
    </row>
    <row r="35" spans="1:27" x14ac:dyDescent="0.35">
      <c r="A35" s="47">
        <f t="shared" ref="A35:A60" si="3">A34+1</f>
        <v>2025</v>
      </c>
      <c r="B35" s="18">
        <f>'SEI Scenario LAT'!P8</f>
        <v>98.42842732062816</v>
      </c>
      <c r="C35" s="18">
        <f>'SEI Scenario LAT'!U8</f>
        <v>130.02249399342105</v>
      </c>
      <c r="D35" s="18">
        <f>'SEI Scenario LAT'!Z8</f>
        <v>0</v>
      </c>
      <c r="E35" s="18">
        <f>'SEI Scenario LAT'!AE8</f>
        <v>0</v>
      </c>
      <c r="G35" s="47">
        <f t="shared" ref="G35:G60" si="4">G34+1</f>
        <v>2025</v>
      </c>
      <c r="H35" s="18">
        <f>'SEI Scenario LAT'!AN8</f>
        <v>686.33214333494334</v>
      </c>
      <c r="I35" s="18">
        <f>'SEI Scenario LAT'!AS8</f>
        <v>14.01012461132861</v>
      </c>
      <c r="J35" s="18">
        <f>'SEI Scenario LAT'!AX8</f>
        <v>1419.3870977025269</v>
      </c>
      <c r="K35" s="18">
        <f>'SEI Scenario LAT'!BC8</f>
        <v>207.77768893071593</v>
      </c>
      <c r="L35" s="18">
        <f>'SEI Scenario LAT'!BH8</f>
        <v>2437.3982911704206</v>
      </c>
      <c r="N35" s="47">
        <f t="shared" ref="N35:N60" si="5">N34+1</f>
        <v>2025</v>
      </c>
      <c r="O35" s="18">
        <f>'SEI Scenario LAT'!BQ8</f>
        <v>14.322892573801866</v>
      </c>
      <c r="P35" s="18">
        <f>'SEI Scenario LAT'!BV8</f>
        <v>90.586339718526602</v>
      </c>
      <c r="Q35" s="18">
        <f>'SEI Scenario LAT'!CA8</f>
        <v>11.388477424246942</v>
      </c>
      <c r="R35" s="18">
        <f>'SEI Scenario LAT'!CF8</f>
        <v>315.26131609844464</v>
      </c>
      <c r="S35" s="18">
        <f>'SEI Scenario LAT'!CK8</f>
        <v>43.577876392829687</v>
      </c>
      <c r="T35" s="18">
        <f>'SEI Scenario LAT'!CP8</f>
        <v>2.3254905315535352</v>
      </c>
      <c r="U35" s="18">
        <f>'SEI Scenario LAT'!CU8</f>
        <v>14.575435446334492</v>
      </c>
      <c r="V35" s="18">
        <f>'SEI Scenario LAT'!CZ8</f>
        <v>304.25566142398981</v>
      </c>
      <c r="W35" s="18">
        <f>'SEI Scenario LAT'!DE8</f>
        <v>27.192010038401289</v>
      </c>
      <c r="X35" s="18">
        <f>'SEI Scenario LAT'!DJ8</f>
        <v>851.33833223022987</v>
      </c>
      <c r="Y35" s="18">
        <f>'SEI Scenario LAT'!DO8</f>
        <v>63.032250734378252</v>
      </c>
      <c r="Z35" s="18">
        <f>'SEI Scenario LAT'!DT8</f>
        <v>21.523795446891615</v>
      </c>
      <c r="AA35" s="18">
        <f>'SEI Scenario LAT'!DY8</f>
        <v>116.13132492218006</v>
      </c>
    </row>
    <row r="36" spans="1:27" x14ac:dyDescent="0.35">
      <c r="A36" s="47">
        <f t="shared" si="3"/>
        <v>2026</v>
      </c>
      <c r="B36" s="18">
        <f>'SEI Scenario LAT'!P9</f>
        <v>107.26276142743605</v>
      </c>
      <c r="C36" s="18">
        <f>'SEI Scenario LAT'!U9</f>
        <v>166.47178333718369</v>
      </c>
      <c r="D36" s="18">
        <f>'SEI Scenario LAT'!Z9</f>
        <v>0</v>
      </c>
      <c r="E36" s="18">
        <f>'SEI Scenario LAT'!AE9</f>
        <v>0</v>
      </c>
      <c r="G36" s="47">
        <f t="shared" si="4"/>
        <v>2026</v>
      </c>
      <c r="H36" s="18">
        <f>'SEI Scenario LAT'!AN9</f>
        <v>677.86353211571361</v>
      </c>
      <c r="I36" s="18">
        <f>'SEI Scenario LAT'!AS9</f>
        <v>13.431227079718933</v>
      </c>
      <c r="J36" s="18">
        <f>'SEI Scenario LAT'!AX9</f>
        <v>1362.0279284578421</v>
      </c>
      <c r="K36" s="18">
        <f>'SEI Scenario LAT'!BC9</f>
        <v>204.04061448658925</v>
      </c>
      <c r="L36" s="18">
        <f>'SEI Scenario LAT'!BH9</f>
        <v>2336.6851359735524</v>
      </c>
      <c r="N36" s="47">
        <f t="shared" si="5"/>
        <v>2026</v>
      </c>
      <c r="O36" s="18">
        <f>'SEI Scenario LAT'!BQ9</f>
        <v>14.879102304419293</v>
      </c>
      <c r="P36" s="18">
        <f>'SEI Scenario LAT'!BV9</f>
        <v>94.40560227039208</v>
      </c>
      <c r="Q36" s="18">
        <f>'SEI Scenario LAT'!CA9</f>
        <v>11.873312059963931</v>
      </c>
      <c r="R36" s="18">
        <f>'SEI Scenario LAT'!CF9</f>
        <v>329.11231239394391</v>
      </c>
      <c r="S36" s="18">
        <f>'SEI Scenario LAT'!CK9</f>
        <v>45.414833212632097</v>
      </c>
      <c r="T36" s="18">
        <f>'SEI Scenario LAT'!CP9</f>
        <v>2.4244312564258101</v>
      </c>
      <c r="U36" s="18">
        <f>'SEI Scenario LAT'!CU9</f>
        <v>15.460335316755716</v>
      </c>
      <c r="V36" s="18">
        <f>'SEI Scenario LAT'!CZ9</f>
        <v>317.03521935314075</v>
      </c>
      <c r="W36" s="18">
        <f>'SEI Scenario LAT'!DE9</f>
        <v>28.327309000585899</v>
      </c>
      <c r="X36" s="18">
        <f>'SEI Scenario LAT'!DJ9</f>
        <v>890.89649627829328</v>
      </c>
      <c r="Y36" s="18">
        <f>'SEI Scenario LAT'!DO9</f>
        <v>65.78858678517615</v>
      </c>
      <c r="Z36" s="18">
        <f>'SEI Scenario LAT'!DT9</f>
        <v>22.465448671729135</v>
      </c>
      <c r="AA36" s="18">
        <f>'SEI Scenario LAT'!DY9</f>
        <v>121.01768552781391</v>
      </c>
    </row>
    <row r="37" spans="1:27" x14ac:dyDescent="0.35">
      <c r="A37" s="47">
        <f t="shared" si="3"/>
        <v>2027</v>
      </c>
      <c r="B37" s="18">
        <f>'SEI Scenario LAT'!P10</f>
        <v>108.48040443055018</v>
      </c>
      <c r="C37" s="18">
        <f>'SEI Scenario LAT'!U10</f>
        <v>201.32489409338979</v>
      </c>
      <c r="D37" s="18">
        <f>'SEI Scenario LAT'!Z10</f>
        <v>0</v>
      </c>
      <c r="E37" s="18">
        <f>'SEI Scenario LAT'!AE10</f>
        <v>0</v>
      </c>
      <c r="G37" s="47">
        <f t="shared" si="4"/>
        <v>2027</v>
      </c>
      <c r="H37" s="18">
        <f>'SEI Scenario LAT'!AN10</f>
        <v>690.7908302349548</v>
      </c>
      <c r="I37" s="18">
        <f>'SEI Scenario LAT'!AS10</f>
        <v>13.172849412745055</v>
      </c>
      <c r="J37" s="18">
        <f>'SEI Scenario LAT'!AX10</f>
        <v>1337.5103601941603</v>
      </c>
      <c r="K37" s="18">
        <f>'SEI Scenario LAT'!BC10</f>
        <v>206.44496751826955</v>
      </c>
      <c r="L37" s="18">
        <f>'SEI Scenario LAT'!BH10</f>
        <v>2291.7341236571096</v>
      </c>
      <c r="N37" s="47">
        <f t="shared" si="5"/>
        <v>2027</v>
      </c>
      <c r="O37" s="18">
        <f>'SEI Scenario LAT'!BQ10</f>
        <v>15.013522757204237</v>
      </c>
      <c r="P37" s="18">
        <f>'SEI Scenario LAT'!BV10</f>
        <v>95.66341548724094</v>
      </c>
      <c r="Q37" s="18">
        <f>'SEI Scenario LAT'!CA10</f>
        <v>12.037770354049973</v>
      </c>
      <c r="R37" s="18">
        <f>'SEI Scenario LAT'!CF10</f>
        <v>334.24581357326639</v>
      </c>
      <c r="S37" s="18">
        <f>'SEI Scenario LAT'!CK10</f>
        <v>46.019442526435441</v>
      </c>
      <c r="T37" s="18">
        <f>'SEI Scenario LAT'!CP10</f>
        <v>2.4579306905478844</v>
      </c>
      <c r="U37" s="18">
        <f>'SEI Scenario LAT'!CU10</f>
        <v>16.028336043174374</v>
      </c>
      <c r="V37" s="18">
        <f>'SEI Scenario LAT'!CZ10</f>
        <v>321.19451585497302</v>
      </c>
      <c r="W37" s="18">
        <f>'SEI Scenario LAT'!DE10</f>
        <v>28.689786922170569</v>
      </c>
      <c r="X37" s="18">
        <f>'SEI Scenario LAT'!DJ10</f>
        <v>907.67272836219752</v>
      </c>
      <c r="Y37" s="18">
        <f>'SEI Scenario LAT'!DO10</f>
        <v>66.797403564914831</v>
      </c>
      <c r="Z37" s="18">
        <f>'SEI Scenario LAT'!DT10</f>
        <v>22.810526549820555</v>
      </c>
      <c r="AA37" s="18">
        <f>'SEI Scenario LAT'!DY10</f>
        <v>122.61678445757062</v>
      </c>
    </row>
    <row r="38" spans="1:27" x14ac:dyDescent="0.35">
      <c r="A38" s="47">
        <f t="shared" si="3"/>
        <v>2028</v>
      </c>
      <c r="B38" s="18">
        <f>'SEI Scenario LAT'!P11</f>
        <v>109.90002530050982</v>
      </c>
      <c r="C38" s="18">
        <f>'SEI Scenario LAT'!U11</f>
        <v>247.51216248752405</v>
      </c>
      <c r="D38" s="18">
        <f>'SEI Scenario LAT'!Z11</f>
        <v>0</v>
      </c>
      <c r="E38" s="18">
        <f>'SEI Scenario LAT'!AE11</f>
        <v>0</v>
      </c>
      <c r="G38" s="47">
        <f t="shared" si="4"/>
        <v>2028</v>
      </c>
      <c r="H38" s="18">
        <f>'SEI Scenario LAT'!AN11</f>
        <v>710.94307522222107</v>
      </c>
      <c r="I38" s="18">
        <f>'SEI Scenario LAT'!AS11</f>
        <v>12.91399954664333</v>
      </c>
      <c r="J38" s="18">
        <f>'SEI Scenario LAT'!AX11</f>
        <v>1313.4149607208515</v>
      </c>
      <c r="K38" s="18">
        <f>'SEI Scenario LAT'!BC11</f>
        <v>210.60902065500227</v>
      </c>
      <c r="L38" s="18">
        <f>'SEI Scenario LAT'!BH11</f>
        <v>2246.7009609402076</v>
      </c>
      <c r="N38" s="47">
        <f t="shared" si="5"/>
        <v>2028</v>
      </c>
      <c r="O38" s="18">
        <f>'SEI Scenario LAT'!BQ11</f>
        <v>15.142623097767251</v>
      </c>
      <c r="P38" s="18">
        <f>'SEI Scenario LAT'!BV11</f>
        <v>97.027144008946095</v>
      </c>
      <c r="Q38" s="18">
        <f>'SEI Scenario LAT'!CA11</f>
        <v>12.217710172923882</v>
      </c>
      <c r="R38" s="18">
        <f>'SEI Scenario LAT'!CF11</f>
        <v>340.00674930332997</v>
      </c>
      <c r="S38" s="18">
        <f>'SEI Scenario LAT'!CK11</f>
        <v>46.674839599323803</v>
      </c>
      <c r="T38" s="18">
        <f>'SEI Scenario LAT'!CP11</f>
        <v>2.4945631852012919</v>
      </c>
      <c r="U38" s="18">
        <f>'SEI Scenario LAT'!CU11</f>
        <v>16.738548165523554</v>
      </c>
      <c r="V38" s="18">
        <f>'SEI Scenario LAT'!CZ11</f>
        <v>325.68717554630587</v>
      </c>
      <c r="W38" s="18">
        <f>'SEI Scenario LAT'!DE11</f>
        <v>29.07889228933756</v>
      </c>
      <c r="X38" s="18">
        <f>'SEI Scenario LAT'!DJ11</f>
        <v>927.14077819342731</v>
      </c>
      <c r="Y38" s="18">
        <f>'SEI Scenario LAT'!DO11</f>
        <v>67.925656565153488</v>
      </c>
      <c r="Z38" s="18">
        <f>'SEI Scenario LAT'!DT11</f>
        <v>23.196592151130904</v>
      </c>
      <c r="AA38" s="18">
        <f>'SEI Scenario LAT'!DY11</f>
        <v>124.34707457156448</v>
      </c>
    </row>
    <row r="39" spans="1:27" x14ac:dyDescent="0.35">
      <c r="A39" s="47">
        <f t="shared" si="3"/>
        <v>2029</v>
      </c>
      <c r="B39" s="18">
        <f>'SEI Scenario LAT'!P12</f>
        <v>111.57798659041197</v>
      </c>
      <c r="C39" s="18">
        <f>'SEI Scenario LAT'!U12</f>
        <v>308.32188679865772</v>
      </c>
      <c r="D39" s="18">
        <f>'SEI Scenario LAT'!Z12</f>
        <v>0</v>
      </c>
      <c r="E39" s="18">
        <f>'SEI Scenario LAT'!AE12</f>
        <v>0</v>
      </c>
      <c r="G39" s="47">
        <f t="shared" si="4"/>
        <v>2029</v>
      </c>
      <c r="H39" s="18">
        <f>'SEI Scenario LAT'!AN12</f>
        <v>740.09325833611729</v>
      </c>
      <c r="I39" s="18">
        <f>'SEI Scenario LAT'!AS12</f>
        <v>12.653229158915911</v>
      </c>
      <c r="J39" s="18">
        <f>'SEI Scenario LAT'!AX12</f>
        <v>1289.7145703089589</v>
      </c>
      <c r="K39" s="18">
        <f>'SEI Scenario LAT'!BC12</f>
        <v>216.96075126074174</v>
      </c>
      <c r="L39" s="18">
        <f>'SEI Scenario LAT'!BH12</f>
        <v>2201.3336772744569</v>
      </c>
      <c r="N39" s="47">
        <f t="shared" si="5"/>
        <v>2029</v>
      </c>
      <c r="O39" s="18">
        <f>'SEI Scenario LAT'!BQ12</f>
        <v>15.264182063637106</v>
      </c>
      <c r="P39" s="18">
        <f>'SEI Scenario LAT'!BV12</f>
        <v>98.52424771076997</v>
      </c>
      <c r="Q39" s="18">
        <f>'SEI Scenario LAT'!CA12</f>
        <v>12.417227936510331</v>
      </c>
      <c r="R39" s="18">
        <f>'SEI Scenario LAT'!CF12</f>
        <v>346.56766535981524</v>
      </c>
      <c r="S39" s="18">
        <f>'SEI Scenario LAT'!CK12</f>
        <v>47.394185526420799</v>
      </c>
      <c r="T39" s="18">
        <f>'SEI Scenario LAT'!CP12</f>
        <v>2.5351568239121369</v>
      </c>
      <c r="U39" s="18">
        <f>'SEI Scenario LAT'!CU12</f>
        <v>17.632617625227255</v>
      </c>
      <c r="V39" s="18">
        <f>'SEI Scenario LAT'!CZ12</f>
        <v>330.59877317804359</v>
      </c>
      <c r="W39" s="18">
        <f>'SEI Scenario LAT'!DE12</f>
        <v>29.501331494173112</v>
      </c>
      <c r="X39" s="18">
        <f>'SEI Scenario LAT'!DJ12</f>
        <v>950.06326022702854</v>
      </c>
      <c r="Y39" s="18">
        <f>'SEI Scenario LAT'!DO12</f>
        <v>69.206056252094328</v>
      </c>
      <c r="Z39" s="18">
        <f>'SEI Scenario LAT'!DT12</f>
        <v>23.634875735563003</v>
      </c>
      <c r="AA39" s="18">
        <f>'SEI Scenario LAT'!DY12</f>
        <v>126.24239363397473</v>
      </c>
    </row>
    <row r="40" spans="1:27" x14ac:dyDescent="0.35">
      <c r="A40" s="47">
        <f t="shared" si="3"/>
        <v>2030</v>
      </c>
      <c r="B40" s="18">
        <f>'SEI Scenario LAT'!P13</f>
        <v>113.6675339078364</v>
      </c>
      <c r="C40" s="18">
        <f>'SEI Scenario LAT'!U13</f>
        <v>387.96597717628043</v>
      </c>
      <c r="D40" s="18">
        <f>'SEI Scenario LAT'!Z13</f>
        <v>0</v>
      </c>
      <c r="E40" s="18">
        <f>'SEI Scenario LAT'!AE13</f>
        <v>0</v>
      </c>
      <c r="G40" s="47">
        <f t="shared" si="4"/>
        <v>2030</v>
      </c>
      <c r="H40" s="18">
        <f>'SEI Scenario LAT'!AN13</f>
        <v>780.84606669725099</v>
      </c>
      <c r="I40" s="18">
        <f>'SEI Scenario LAT'!AS13</f>
        <v>12.398303121105148</v>
      </c>
      <c r="J40" s="18">
        <f>'SEI Scenario LAT'!AX13</f>
        <v>1267.3400965656201</v>
      </c>
      <c r="K40" s="18">
        <f>'SEI Scenario LAT'!BC13</f>
        <v>226.15748453750652</v>
      </c>
      <c r="L40" s="18">
        <f>'SEI Scenario LAT'!BH13</f>
        <v>2156.983158904879</v>
      </c>
      <c r="N40" s="47">
        <f t="shared" si="5"/>
        <v>2030</v>
      </c>
      <c r="O40" s="18">
        <f>'SEI Scenario LAT'!BQ13</f>
        <v>15.387180498698646</v>
      </c>
      <c r="P40" s="18">
        <f>'SEI Scenario LAT'!BV13</f>
        <v>100.26362771685125</v>
      </c>
      <c r="Q40" s="18">
        <f>'SEI Scenario LAT'!CA13</f>
        <v>12.650823213005351</v>
      </c>
      <c r="R40" s="18">
        <f>'SEI Scenario LAT'!CF13</f>
        <v>354.40418619249658</v>
      </c>
      <c r="S40" s="18">
        <f>'SEI Scenario LAT'!CK13</f>
        <v>48.229807427214844</v>
      </c>
      <c r="T40" s="18">
        <f>'SEI Scenario LAT'!CP13</f>
        <v>2.5826618380547108</v>
      </c>
      <c r="U40" s="18">
        <f>'SEI Scenario LAT'!CU13</f>
        <v>18.774794502289424</v>
      </c>
      <c r="V40" s="18">
        <f>'SEI Scenario LAT'!CZ13</f>
        <v>336.28672472499301</v>
      </c>
      <c r="W40" s="18">
        <f>'SEI Scenario LAT'!DE13</f>
        <v>29.987865696099036</v>
      </c>
      <c r="X40" s="18">
        <f>'SEI Scenario LAT'!DJ13</f>
        <v>978.09693607219265</v>
      </c>
      <c r="Y40" s="18">
        <f>'SEI Scenario LAT'!DO13</f>
        <v>70.731453373297896</v>
      </c>
      <c r="Z40" s="18">
        <f>'SEI Scenario LAT'!DT13</f>
        <v>24.157159275795586</v>
      </c>
      <c r="AA40" s="18">
        <f>'SEI Scenario LAT'!DY13</f>
        <v>128.44063825311679</v>
      </c>
    </row>
    <row r="41" spans="1:27" x14ac:dyDescent="0.35">
      <c r="A41" s="47">
        <f t="shared" si="3"/>
        <v>2031</v>
      </c>
      <c r="B41" s="18">
        <f>'SEI Scenario LAT'!P14</f>
        <v>116.27204254436184</v>
      </c>
      <c r="C41" s="18">
        <f>'SEI Scenario LAT'!U14</f>
        <v>491.2023696129441</v>
      </c>
      <c r="D41" s="18">
        <f>'SEI Scenario LAT'!Z14</f>
        <v>0</v>
      </c>
      <c r="E41" s="18">
        <f>'SEI Scenario LAT'!AE14</f>
        <v>0</v>
      </c>
      <c r="G41" s="47">
        <f t="shared" si="4"/>
        <v>2031</v>
      </c>
      <c r="H41" s="18">
        <f>'SEI Scenario LAT'!AN14</f>
        <v>835.617268892894</v>
      </c>
      <c r="I41" s="18">
        <f>'SEI Scenario LAT'!AS14</f>
        <v>12.149185192171341</v>
      </c>
      <c r="J41" s="18">
        <f>'SEI Scenario LAT'!AX14</f>
        <v>1246.4446356012056</v>
      </c>
      <c r="K41" s="18">
        <f>'SEI Scenario LAT'!BC14</f>
        <v>238.78795394875371</v>
      </c>
      <c r="L41" s="18">
        <f>'SEI Scenario LAT'!BH14</f>
        <v>2113.6431008305785</v>
      </c>
      <c r="N41" s="47">
        <f t="shared" si="5"/>
        <v>2031</v>
      </c>
      <c r="O41" s="18">
        <f>'SEI Scenario LAT'!BQ14</f>
        <v>15.511708386363759</v>
      </c>
      <c r="P41" s="18">
        <f>'SEI Scenario LAT'!BV14</f>
        <v>102.30649216312111</v>
      </c>
      <c r="Q41" s="18">
        <f>'SEI Scenario LAT'!CA14</f>
        <v>12.927132130336833</v>
      </c>
      <c r="R41" s="18">
        <f>'SEI Scenario LAT'!CF14</f>
        <v>363.84178775531694</v>
      </c>
      <c r="S41" s="18">
        <f>'SEI Scenario LAT'!CK14</f>
        <v>49.211078961739979</v>
      </c>
      <c r="T41" s="18">
        <f>'SEI Scenario LAT'!CP14</f>
        <v>2.6388294370887451</v>
      </c>
      <c r="U41" s="18">
        <f>'SEI Scenario LAT'!CU14</f>
        <v>20.22931249751008</v>
      </c>
      <c r="V41" s="18">
        <f>'SEI Scenario LAT'!CZ14</f>
        <v>342.94688893240016</v>
      </c>
      <c r="W41" s="18">
        <f>'SEI Scenario LAT'!DE14</f>
        <v>30.554623639103859</v>
      </c>
      <c r="X41" s="18">
        <f>'SEI Scenario LAT'!DJ14</f>
        <v>1012.5541258195515</v>
      </c>
      <c r="Y41" s="18">
        <f>'SEI Scenario LAT'!DO14</f>
        <v>72.564310783148741</v>
      </c>
      <c r="Z41" s="18">
        <f>'SEI Scenario LAT'!DT14</f>
        <v>24.78486055739133</v>
      </c>
      <c r="AA41" s="18">
        <f>'SEI Scenario LAT'!DY14</f>
        <v>131.01828190487299</v>
      </c>
    </row>
    <row r="42" spans="1:27" x14ac:dyDescent="0.35">
      <c r="A42" s="47">
        <f t="shared" si="3"/>
        <v>2032</v>
      </c>
      <c r="B42" s="18">
        <f>'SEI Scenario LAT'!P15</f>
        <v>119.50840319242945</v>
      </c>
      <c r="C42" s="18">
        <f>'SEI Scenario LAT'!U15</f>
        <v>623.24699237351558</v>
      </c>
      <c r="D42" s="18">
        <f>'SEI Scenario LAT'!Z15</f>
        <v>0</v>
      </c>
      <c r="E42" s="18">
        <f>'SEI Scenario LAT'!AE15</f>
        <v>0</v>
      </c>
      <c r="G42" s="47">
        <f t="shared" si="4"/>
        <v>2032</v>
      </c>
      <c r="H42" s="18">
        <f>'SEI Scenario LAT'!AN15</f>
        <v>906.87970917070095</v>
      </c>
      <c r="I42" s="18">
        <f>'SEI Scenario LAT'!AS15</f>
        <v>11.906243237213436</v>
      </c>
      <c r="J42" s="18">
        <f>'SEI Scenario LAT'!AX15</f>
        <v>1227.2246415369671</v>
      </c>
      <c r="K42" s="18">
        <f>'SEI Scenario LAT'!BC15</f>
        <v>255.45597278841842</v>
      </c>
      <c r="L42" s="18">
        <f>'SEI Scenario LAT'!BH15</f>
        <v>2071.3775020371754</v>
      </c>
      <c r="N42" s="47">
        <f t="shared" si="5"/>
        <v>2032</v>
      </c>
      <c r="O42" s="18">
        <f>'SEI Scenario LAT'!BQ15</f>
        <v>15.638390322465623</v>
      </c>
      <c r="P42" s="18">
        <f>'SEI Scenario LAT'!BV15</f>
        <v>104.72400424376268</v>
      </c>
      <c r="Q42" s="18">
        <f>'SEI Scenario LAT'!CA15</f>
        <v>13.256144382944717</v>
      </c>
      <c r="R42" s="18">
        <f>'SEI Scenario LAT'!CF15</f>
        <v>375.25278338249848</v>
      </c>
      <c r="S42" s="18">
        <f>'SEI Scenario LAT'!CK15</f>
        <v>50.372155074714982</v>
      </c>
      <c r="T42" s="18">
        <f>'SEI Scenario LAT'!CP15</f>
        <v>2.7056858952928824</v>
      </c>
      <c r="U42" s="18">
        <f>'SEI Scenario LAT'!CU15</f>
        <v>22.06790297763531</v>
      </c>
      <c r="V42" s="18">
        <f>'SEI Scenario LAT'!CZ15</f>
        <v>350.80750686874359</v>
      </c>
      <c r="W42" s="18">
        <f>'SEI Scenario LAT'!DE15</f>
        <v>31.220479020598134</v>
      </c>
      <c r="X42" s="18">
        <f>'SEI Scenario LAT'!DJ15</f>
        <v>1054.9206147396619</v>
      </c>
      <c r="Y42" s="18">
        <f>'SEI Scenario LAT'!DO15</f>
        <v>74.776172708018137</v>
      </c>
      <c r="Z42" s="18">
        <f>'SEI Scenario LAT'!DT15</f>
        <v>25.5425079928565</v>
      </c>
      <c r="AA42" s="18">
        <f>'SEI Scenario LAT'!DY15</f>
        <v>134.06434412080893</v>
      </c>
    </row>
    <row r="43" spans="1:27" x14ac:dyDescent="0.35">
      <c r="A43" s="47">
        <f t="shared" si="3"/>
        <v>2033</v>
      </c>
      <c r="B43" s="18">
        <f>'SEI Scenario LAT'!P16</f>
        <v>123.50492634710353</v>
      </c>
      <c r="C43" s="18">
        <f>'SEI Scenario LAT'!U16</f>
        <v>789.36014307527182</v>
      </c>
      <c r="D43" s="18">
        <f>'SEI Scenario LAT'!Z16</f>
        <v>0</v>
      </c>
      <c r="E43" s="18">
        <f>'SEI Scenario LAT'!AE16</f>
        <v>0</v>
      </c>
      <c r="G43" s="47">
        <f t="shared" si="4"/>
        <v>2033</v>
      </c>
      <c r="H43" s="18">
        <f>'SEI Scenario LAT'!AN16</f>
        <v>996.89906865997978</v>
      </c>
      <c r="I43" s="18">
        <f>'SEI Scenario LAT'!AS16</f>
        <v>11.670947017068505</v>
      </c>
      <c r="J43" s="18">
        <f>'SEI Scenario LAT'!AX16</f>
        <v>1209.9712691796456</v>
      </c>
      <c r="K43" s="18">
        <f>'SEI Scenario LAT'!BC16</f>
        <v>276.71804300729048</v>
      </c>
      <c r="L43" s="18">
        <f>'SEI Scenario LAT'!BH16</f>
        <v>2030.4420627880215</v>
      </c>
      <c r="N43" s="47">
        <f t="shared" si="5"/>
        <v>2033</v>
      </c>
      <c r="O43" s="18">
        <f>'SEI Scenario LAT'!BQ16</f>
        <v>15.769411848897445</v>
      </c>
      <c r="P43" s="18">
        <f>'SEI Scenario LAT'!BV16</f>
        <v>107.59875078820551</v>
      </c>
      <c r="Q43" s="18">
        <f>'SEI Scenario LAT'!CA16</f>
        <v>13.649309914866466</v>
      </c>
      <c r="R43" s="18">
        <f>'SEI Scenario LAT'!CF16</f>
        <v>389.05212023877272</v>
      </c>
      <c r="S43" s="18">
        <f>'SEI Scenario LAT'!CK16</f>
        <v>51.752684390064353</v>
      </c>
      <c r="T43" s="18">
        <f>'SEI Scenario LAT'!CP16</f>
        <v>2.7855553515804399</v>
      </c>
      <c r="U43" s="18">
        <f>'SEI Scenario LAT'!CU16</f>
        <v>24.365526697014406</v>
      </c>
      <c r="V43" s="18">
        <f>'SEI Scenario LAT'!CZ16</f>
        <v>360.13493983930596</v>
      </c>
      <c r="W43" s="18">
        <f>'SEI Scenario LAT'!DE16</f>
        <v>32.00767723784022</v>
      </c>
      <c r="X43" s="18">
        <f>'SEI Scenario LAT'!DJ16</f>
        <v>1106.8084048224871</v>
      </c>
      <c r="Y43" s="18">
        <f>'SEI Scenario LAT'!DO16</f>
        <v>77.447040620726114</v>
      </c>
      <c r="Z43" s="18">
        <f>'SEI Scenario LAT'!DT16</f>
        <v>26.457520175922429</v>
      </c>
      <c r="AA43" s="18">
        <f>'SEI Scenario LAT'!DY16</f>
        <v>137.68243844718035</v>
      </c>
    </row>
    <row r="44" spans="1:27" x14ac:dyDescent="0.35">
      <c r="A44" s="47">
        <f t="shared" si="3"/>
        <v>2034</v>
      </c>
      <c r="B44" s="18">
        <f>'SEI Scenario LAT'!P17</f>
        <v>128.36358369701887</v>
      </c>
      <c r="C44" s="18">
        <f>'SEI Scenario LAT'!U17</f>
        <v>993.95987389109132</v>
      </c>
      <c r="D44" s="18">
        <f>'SEI Scenario LAT'!Z17</f>
        <v>0</v>
      </c>
      <c r="E44" s="18">
        <f>'SEI Scenario LAT'!AE17</f>
        <v>0</v>
      </c>
      <c r="G44" s="47">
        <f t="shared" si="4"/>
        <v>2034</v>
      </c>
      <c r="H44" s="18">
        <f>'SEI Scenario LAT'!AN17</f>
        <v>1107.0900711651805</v>
      </c>
      <c r="I44" s="18">
        <f>'SEI Scenario LAT'!AS17</f>
        <v>11.443737446314097</v>
      </c>
      <c r="J44" s="18">
        <f>'SEI Scenario LAT'!AX17</f>
        <v>1194.8195266070791</v>
      </c>
      <c r="K44" s="18">
        <f>'SEI Scenario LAT'!BC17</f>
        <v>302.92027450220075</v>
      </c>
      <c r="L44" s="18">
        <f>'SEI Scenario LAT'!BH17</f>
        <v>1990.9134907832763</v>
      </c>
      <c r="N44" s="47">
        <f t="shared" si="5"/>
        <v>2034</v>
      </c>
      <c r="O44" s="18">
        <f>'SEI Scenario LAT'!BQ17</f>
        <v>15.905787756199093</v>
      </c>
      <c r="P44" s="18">
        <f>'SEI Scenario LAT'!BV17</f>
        <v>110.99693189916043</v>
      </c>
      <c r="Q44" s="18">
        <f>'SEI Scenario LAT'!CA17</f>
        <v>14.115879141296967</v>
      </c>
      <c r="R44" s="18">
        <f>'SEI Scenario LAT'!CF17</f>
        <v>405.58105803056009</v>
      </c>
      <c r="S44" s="18">
        <f>'SEI Scenario LAT'!CK17</f>
        <v>53.384443035258592</v>
      </c>
      <c r="T44" s="18">
        <f>'SEI Scenario LAT'!CP17</f>
        <v>2.8803146241802513</v>
      </c>
      <c r="U44" s="18">
        <f>'SEI Scenario LAT'!CU17</f>
        <v>27.186451904337432</v>
      </c>
      <c r="V44" s="18">
        <f>'SEI Scenario LAT'!CZ17</f>
        <v>371.14195071694053</v>
      </c>
      <c r="W44" s="18">
        <f>'SEI Scenario LAT'!DE17</f>
        <v>32.933877236756715</v>
      </c>
      <c r="X44" s="18">
        <f>'SEI Scenario LAT'!DJ17</f>
        <v>1169.5663134222334</v>
      </c>
      <c r="Y44" s="18">
        <f>'SEI Scenario LAT'!DO17</f>
        <v>80.642570036849492</v>
      </c>
      <c r="Z44" s="18">
        <f>'SEI Scenario LAT'!DT17</f>
        <v>27.552403849170741</v>
      </c>
      <c r="AA44" s="18">
        <f>'SEI Scenario LAT'!DY17</f>
        <v>141.95546623957387</v>
      </c>
    </row>
    <row r="45" spans="1:27" x14ac:dyDescent="0.35">
      <c r="A45" s="47">
        <f t="shared" si="3"/>
        <v>2035</v>
      </c>
      <c r="B45" s="18">
        <f>'SEI Scenario LAT'!P18</f>
        <v>134.14304044836055</v>
      </c>
      <c r="C45" s="18">
        <f>'SEI Scenario LAT'!U18</f>
        <v>1239.5201382486782</v>
      </c>
      <c r="D45" s="18">
        <f>'SEI Scenario LAT'!Z18</f>
        <v>0</v>
      </c>
      <c r="E45" s="18">
        <f>'SEI Scenario LAT'!AE18</f>
        <v>0</v>
      </c>
      <c r="G45" s="47">
        <f t="shared" si="4"/>
        <v>2035</v>
      </c>
      <c r="H45" s="18">
        <f>'SEI Scenario LAT'!AN18</f>
        <v>1237.4380259005463</v>
      </c>
      <c r="I45" s="18">
        <f>'SEI Scenario LAT'!AS18</f>
        <v>11.224844225105326</v>
      </c>
      <c r="J45" s="18">
        <f>'SEI Scenario LAT'!AX18</f>
        <v>1181.7910027696935</v>
      </c>
      <c r="K45" s="18">
        <f>'SEI Scenario LAT'!BC18</f>
        <v>334.05975020309694</v>
      </c>
      <c r="L45" s="18">
        <f>'SEI Scenario LAT'!BH18</f>
        <v>1952.8317478920217</v>
      </c>
      <c r="N45" s="47">
        <f t="shared" si="5"/>
        <v>2035</v>
      </c>
      <c r="O45" s="18">
        <f>'SEI Scenario LAT'!BQ18</f>
        <v>16.048359382870515</v>
      </c>
      <c r="P45" s="18">
        <f>'SEI Scenario LAT'!BV18</f>
        <v>114.96077241644346</v>
      </c>
      <c r="Q45" s="18">
        <f>'SEI Scenario LAT'!CA18</f>
        <v>14.661733266204108</v>
      </c>
      <c r="R45" s="18">
        <f>'SEI Scenario LAT'!CF18</f>
        <v>425.05498838108031</v>
      </c>
      <c r="S45" s="18">
        <f>'SEI Scenario LAT'!CK18</f>
        <v>55.287700428565209</v>
      </c>
      <c r="T45" s="18">
        <f>'SEI Scenario LAT'!CP18</f>
        <v>2.9911571747822836</v>
      </c>
      <c r="U45" s="18">
        <f>'SEI Scenario LAT'!CU18</f>
        <v>30.570570415843246</v>
      </c>
      <c r="V45" s="18">
        <f>'SEI Scenario LAT'!CZ18</f>
        <v>383.964444230862</v>
      </c>
      <c r="W45" s="18">
        <f>'SEI Scenario LAT'!DE18</f>
        <v>34.010387969838305</v>
      </c>
      <c r="X45" s="18">
        <f>'SEI Scenario LAT'!DJ18</f>
        <v>1244.0397461232521</v>
      </c>
      <c r="Y45" s="18">
        <f>'SEI Scenario LAT'!DO18</f>
        <v>84.404236193674961</v>
      </c>
      <c r="Z45" s="18">
        <f>'SEI Scenario LAT'!DT18</f>
        <v>28.841375488349524</v>
      </c>
      <c r="AA45" s="18">
        <f>'SEI Scenario LAT'!DY18</f>
        <v>146.93634538916703</v>
      </c>
    </row>
    <row r="46" spans="1:27" x14ac:dyDescent="0.35">
      <c r="A46" s="47">
        <f t="shared" si="3"/>
        <v>2036</v>
      </c>
      <c r="B46" s="18">
        <f>'SEI Scenario LAT'!P19</f>
        <v>140.94415991564904</v>
      </c>
      <c r="C46" s="18">
        <f>'SEI Scenario LAT'!U19</f>
        <v>1526.5217342704323</v>
      </c>
      <c r="D46" s="18">
        <f>'SEI Scenario LAT'!Z19</f>
        <v>0</v>
      </c>
      <c r="E46" s="18">
        <f>'SEI Scenario LAT'!AE19</f>
        <v>0</v>
      </c>
      <c r="G46" s="47">
        <f t="shared" si="4"/>
        <v>2036</v>
      </c>
      <c r="H46" s="18">
        <f>'SEI Scenario LAT'!AN19</f>
        <v>1386.9873540221852</v>
      </c>
      <c r="I46" s="18">
        <f>'SEI Scenario LAT'!AS19</f>
        <v>11.023135210035194</v>
      </c>
      <c r="J46" s="18">
        <f>'SEI Scenario LAT'!AX19</f>
        <v>1171.6939779840277</v>
      </c>
      <c r="K46" s="18">
        <f>'SEI Scenario LAT'!BC19</f>
        <v>369.92917579613584</v>
      </c>
      <c r="L46" s="18">
        <f>'SEI Scenario LAT'!BH19</f>
        <v>1917.7396111491371</v>
      </c>
      <c r="N46" s="47">
        <f t="shared" si="5"/>
        <v>2036</v>
      </c>
      <c r="O46" s="18">
        <f>'SEI Scenario LAT'!BQ19</f>
        <v>16.210790543612635</v>
      </c>
      <c r="P46" s="18">
        <f>'SEI Scenario LAT'!BV19</f>
        <v>119.58812275261627</v>
      </c>
      <c r="Q46" s="18">
        <f>'SEI Scenario LAT'!CA19</f>
        <v>15.299351425434285</v>
      </c>
      <c r="R46" s="18">
        <f>'SEI Scenario LAT'!CF19</f>
        <v>447.83565522709614</v>
      </c>
      <c r="S46" s="18">
        <f>'SEI Scenario LAT'!CK19</f>
        <v>57.509515472244267</v>
      </c>
      <c r="T46" s="18">
        <f>'SEI Scenario LAT'!CP19</f>
        <v>3.1206288914240505</v>
      </c>
      <c r="U46" s="18">
        <f>'SEI Scenario LAT'!CU19</f>
        <v>34.543879885411229</v>
      </c>
      <c r="V46" s="18">
        <f>'SEI Scenario LAT'!CZ19</f>
        <v>398.92924099256072</v>
      </c>
      <c r="W46" s="18">
        <f>'SEI Scenario LAT'!DE19</f>
        <v>35.266158782803544</v>
      </c>
      <c r="X46" s="18">
        <f>'SEI Scenario LAT'!DJ19</f>
        <v>1331.2872737835082</v>
      </c>
      <c r="Y46" s="18">
        <f>'SEI Scenario LAT'!DO19</f>
        <v>88.803872528017706</v>
      </c>
      <c r="Z46" s="18">
        <f>'SEI Scenario LAT'!DT19</f>
        <v>30.348980924793374</v>
      </c>
      <c r="AA46" s="18">
        <f>'SEI Scenario LAT'!DY19</f>
        <v>152.75014358895731</v>
      </c>
    </row>
    <row r="47" spans="1:27" x14ac:dyDescent="0.35">
      <c r="A47" s="47">
        <f t="shared" si="3"/>
        <v>2037</v>
      </c>
      <c r="B47" s="18">
        <f>'SEI Scenario LAT'!P20</f>
        <v>148.54786712583524</v>
      </c>
      <c r="C47" s="18">
        <f>'SEI Scenario LAT'!U20</f>
        <v>1849.1025762617653</v>
      </c>
      <c r="D47" s="18">
        <f>'SEI Scenario LAT'!Z20</f>
        <v>0</v>
      </c>
      <c r="E47" s="18">
        <f>'SEI Scenario LAT'!AE20</f>
        <v>0</v>
      </c>
      <c r="G47" s="47">
        <f t="shared" si="4"/>
        <v>2037</v>
      </c>
      <c r="H47" s="18">
        <f>'SEI Scenario LAT'!AN20</f>
        <v>1550.2517425890451</v>
      </c>
      <c r="I47" s="18">
        <f>'SEI Scenario LAT'!AS20</f>
        <v>10.828356691155573</v>
      </c>
      <c r="J47" s="18">
        <f>'SEI Scenario LAT'!AX20</f>
        <v>1163.1664413551744</v>
      </c>
      <c r="K47" s="18">
        <f>'SEI Scenario LAT'!BC20</f>
        <v>409.16164410756454</v>
      </c>
      <c r="L47" s="18">
        <f>'SEI Scenario LAT'!BH20</f>
        <v>1883.853200981878</v>
      </c>
      <c r="N47" s="47">
        <f t="shared" si="5"/>
        <v>2037</v>
      </c>
      <c r="O47" s="18">
        <f>'SEI Scenario LAT'!BQ20</f>
        <v>16.379412160007924</v>
      </c>
      <c r="P47" s="18">
        <f>'SEI Scenario LAT'!BV20</f>
        <v>124.72840475290134</v>
      </c>
      <c r="Q47" s="18">
        <f>'SEI Scenario LAT'!CA20</f>
        <v>16.008807799913761</v>
      </c>
      <c r="R47" s="18">
        <f>'SEI Scenario LAT'!CF20</f>
        <v>473.28008594201083</v>
      </c>
      <c r="S47" s="18">
        <f>'SEI Scenario LAT'!CK20</f>
        <v>59.977525865800942</v>
      </c>
      <c r="T47" s="18">
        <f>'SEI Scenario LAT'!CP20</f>
        <v>3.2646739511448182</v>
      </c>
      <c r="U47" s="18">
        <f>'SEI Scenario LAT'!CU20</f>
        <v>39.024638705068888</v>
      </c>
      <c r="V47" s="18">
        <f>'SEI Scenario LAT'!CZ20</f>
        <v>415.5408711683146</v>
      </c>
      <c r="W47" s="18">
        <f>'SEI Scenario LAT'!DE20</f>
        <v>36.65836313996865</v>
      </c>
      <c r="X47" s="18">
        <f>'SEI Scenario LAT'!DJ20</f>
        <v>1429.1142730088716</v>
      </c>
      <c r="Y47" s="18">
        <f>'SEI Scenario LAT'!DO20</f>
        <v>93.715687226015973</v>
      </c>
      <c r="Z47" s="18">
        <f>'SEI Scenario LAT'!DT20</f>
        <v>32.032172173526554</v>
      </c>
      <c r="AA47" s="18">
        <f>'SEI Scenario LAT'!DY20</f>
        <v>159.20593011310194</v>
      </c>
    </row>
    <row r="48" spans="1:27" x14ac:dyDescent="0.35">
      <c r="A48" s="47">
        <f t="shared" si="3"/>
        <v>2038</v>
      </c>
      <c r="B48" s="18">
        <f>'SEI Scenario LAT'!P21</f>
        <v>156.73939783767204</v>
      </c>
      <c r="C48" s="18">
        <f>'SEI Scenario LAT'!U21</f>
        <v>2197.5765094693279</v>
      </c>
      <c r="D48" s="18">
        <f>'SEI Scenario LAT'!Z21</f>
        <v>0</v>
      </c>
      <c r="E48" s="18">
        <f>'SEI Scenario LAT'!AE21</f>
        <v>0</v>
      </c>
      <c r="G48" s="47">
        <f t="shared" si="4"/>
        <v>2038</v>
      </c>
      <c r="H48" s="18">
        <f>'SEI Scenario LAT'!AN21</f>
        <v>1720.297517949024</v>
      </c>
      <c r="I48" s="18">
        <f>'SEI Scenario LAT'!AS21</f>
        <v>10.639595397598555</v>
      </c>
      <c r="J48" s="18">
        <f>'SEI Scenario LAT'!AX21</f>
        <v>1155.6691490863468</v>
      </c>
      <c r="K48" s="18">
        <f>'SEI Scenario LAT'!BC21</f>
        <v>450.06444856483739</v>
      </c>
      <c r="L48" s="18">
        <f>'SEI Scenario LAT'!BH21</f>
        <v>1851.0136319474257</v>
      </c>
      <c r="N48" s="47">
        <f t="shared" si="5"/>
        <v>2038</v>
      </c>
      <c r="O48" s="18">
        <f>'SEI Scenario LAT'!BQ21</f>
        <v>16.553485477239587</v>
      </c>
      <c r="P48" s="18">
        <f>'SEI Scenario LAT'!BV21</f>
        <v>130.26239678504965</v>
      </c>
      <c r="Q48" s="18">
        <f>'SEI Scenario LAT'!CA21</f>
        <v>16.773336186917255</v>
      </c>
      <c r="R48" s="18">
        <f>'SEI Scenario LAT'!CF21</f>
        <v>500.76092542432337</v>
      </c>
      <c r="S48" s="18">
        <f>'SEI Scenario LAT'!CK21</f>
        <v>62.634513193748191</v>
      </c>
      <c r="T48" s="18">
        <f>'SEI Scenario LAT'!CP21</f>
        <v>3.4198919090172777</v>
      </c>
      <c r="U48" s="18">
        <f>'SEI Scenario LAT'!CU21</f>
        <v>43.890928291737431</v>
      </c>
      <c r="V48" s="18">
        <f>'SEI Scenario LAT'!CZ21</f>
        <v>433.41726828966318</v>
      </c>
      <c r="W48" s="18">
        <f>'SEI Scenario LAT'!DE21</f>
        <v>38.155453445932181</v>
      </c>
      <c r="X48" s="18">
        <f>'SEI Scenario LAT'!DJ21</f>
        <v>1535.0079164460585</v>
      </c>
      <c r="Y48" s="18">
        <f>'SEI Scenario LAT'!DO21</f>
        <v>99.019182640651366</v>
      </c>
      <c r="Z48" s="18">
        <f>'SEI Scenario LAT'!DT21</f>
        <v>33.849635537616393</v>
      </c>
      <c r="AA48" s="18">
        <f>'SEI Scenario LAT'!DY21</f>
        <v>166.15463213997342</v>
      </c>
    </row>
    <row r="49" spans="1:27" x14ac:dyDescent="0.35">
      <c r="A49" s="47">
        <f t="shared" si="3"/>
        <v>2039</v>
      </c>
      <c r="B49" s="18">
        <f>'SEI Scenario LAT'!P22</f>
        <v>165.24007677005491</v>
      </c>
      <c r="C49" s="18">
        <f>'SEI Scenario LAT'!U22</f>
        <v>2558.7668093468765</v>
      </c>
      <c r="D49" s="18">
        <f>'SEI Scenario LAT'!Z22</f>
        <v>0</v>
      </c>
      <c r="E49" s="18">
        <f>'SEI Scenario LAT'!AE22</f>
        <v>0</v>
      </c>
      <c r="G49" s="47">
        <f t="shared" si="4"/>
        <v>2039</v>
      </c>
      <c r="H49" s="18">
        <f>'SEI Scenario LAT'!AN22</f>
        <v>1888.8411834142257</v>
      </c>
      <c r="I49" s="18">
        <f>'SEI Scenario LAT'!AS22</f>
        <v>10.457072907824333</v>
      </c>
      <c r="J49" s="18">
        <f>'SEI Scenario LAT'!AX22</f>
        <v>1148.6866951834836</v>
      </c>
      <c r="K49" s="18">
        <f>'SEI Scenario LAT'!BC22</f>
        <v>490.61914568024821</v>
      </c>
      <c r="L49" s="18">
        <f>'SEI Scenario LAT'!BH22</f>
        <v>1819.2594529506075</v>
      </c>
      <c r="N49" s="47">
        <f t="shared" si="5"/>
        <v>2039</v>
      </c>
      <c r="O49" s="18">
        <f>'SEI Scenario LAT'!BQ22</f>
        <v>16.734015284930486</v>
      </c>
      <c r="P49" s="18">
        <f>'SEI Scenario LAT'!BV22</f>
        <v>136.03581826547651</v>
      </c>
      <c r="Q49" s="18">
        <f>'SEI Scenario LAT'!CA22</f>
        <v>17.571047568929007</v>
      </c>
      <c r="R49" s="18">
        <f>'SEI Scenario LAT'!CF22</f>
        <v>529.4433367162992</v>
      </c>
      <c r="S49" s="18">
        <f>'SEI Scenario LAT'!CK22</f>
        <v>65.406447689768697</v>
      </c>
      <c r="T49" s="18">
        <f>'SEI Scenario LAT'!CP22</f>
        <v>3.5818455755829817</v>
      </c>
      <c r="U49" s="18">
        <f>'SEI Scenario LAT'!CU22</f>
        <v>48.973855818399841</v>
      </c>
      <c r="V49" s="18">
        <f>'SEI Scenario LAT'!CZ22</f>
        <v>452.06600186195982</v>
      </c>
      <c r="W49" s="18">
        <f>'SEI Scenario LAT'!DE22</f>
        <v>39.717064085035368</v>
      </c>
      <c r="X49" s="18">
        <f>'SEI Scenario LAT'!DJ22</f>
        <v>1645.5657024596687</v>
      </c>
      <c r="Y49" s="18">
        <f>'SEI Scenario LAT'!DO22</f>
        <v>104.55436281861071</v>
      </c>
      <c r="Z49" s="18">
        <f>'SEI Scenario LAT'!DT22</f>
        <v>35.746502522678455</v>
      </c>
      <c r="AA49" s="18">
        <f>'SEI Scenario LAT'!DY22</f>
        <v>173.40374771169832</v>
      </c>
    </row>
    <row r="50" spans="1:27" x14ac:dyDescent="0.35">
      <c r="A50" s="47">
        <f t="shared" si="3"/>
        <v>2040</v>
      </c>
      <c r="B50" s="18">
        <f>'SEI Scenario LAT'!P23</f>
        <v>173.70964529282753</v>
      </c>
      <c r="C50" s="18">
        <f>'SEI Scenario LAT'!U23</f>
        <v>2917.443904701066</v>
      </c>
      <c r="D50" s="18">
        <f>'SEI Scenario LAT'!Z23</f>
        <v>0</v>
      </c>
      <c r="E50" s="18">
        <f>'SEI Scenario LAT'!AE23</f>
        <v>0</v>
      </c>
      <c r="G50" s="47">
        <f t="shared" si="4"/>
        <v>2040</v>
      </c>
      <c r="H50" s="18">
        <f>'SEI Scenario LAT'!AN23</f>
        <v>2047.139589406657</v>
      </c>
      <c r="I50" s="18">
        <f>'SEI Scenario LAT'!AS23</f>
        <v>10.279363934018624</v>
      </c>
      <c r="J50" s="18">
        <f>'SEI Scenario LAT'!AX23</f>
        <v>1141.5122521073417</v>
      </c>
      <c r="K50" s="18">
        <f>'SEI Scenario LAT'!BC23</f>
        <v>528.6904935694605</v>
      </c>
      <c r="L50" s="18">
        <f>'SEI Scenario LAT'!BH23</f>
        <v>1788.3427008805054</v>
      </c>
      <c r="N50" s="47">
        <f t="shared" si="5"/>
        <v>2040</v>
      </c>
      <c r="O50" s="18">
        <f>'SEI Scenario LAT'!BQ23</f>
        <v>16.919392828856893</v>
      </c>
      <c r="P50" s="18">
        <f>'SEI Scenario LAT'!BV23</f>
        <v>141.8493474276587</v>
      </c>
      <c r="Q50" s="18">
        <f>'SEI Scenario LAT'!CA23</f>
        <v>18.373947893520548</v>
      </c>
      <c r="R50" s="18">
        <f>'SEI Scenario LAT'!CF23</f>
        <v>558.28285324097044</v>
      </c>
      <c r="S50" s="18">
        <f>'SEI Scenario LAT'!CK23</f>
        <v>68.197665444505986</v>
      </c>
      <c r="T50" s="18">
        <f>'SEI Scenario LAT'!CP23</f>
        <v>3.7448568973949814</v>
      </c>
      <c r="U50" s="18">
        <f>'SEI Scenario LAT'!CU23</f>
        <v>54.071710118239999</v>
      </c>
      <c r="V50" s="18">
        <f>'SEI Scenario LAT'!CZ23</f>
        <v>470.84793165819076</v>
      </c>
      <c r="W50" s="18">
        <f>'SEI Scenario LAT'!DE23</f>
        <v>41.290364447343229</v>
      </c>
      <c r="X50" s="18">
        <f>'SEI Scenario LAT'!DJ23</f>
        <v>1756.6152636348777</v>
      </c>
      <c r="Y50" s="18">
        <f>'SEI Scenario LAT'!DO23</f>
        <v>110.12054716233578</v>
      </c>
      <c r="Z50" s="18">
        <f>'SEI Scenario LAT'!DT23</f>
        <v>37.653970361887986</v>
      </c>
      <c r="AA50" s="18">
        <f>'SEI Scenario LAT'!DY23</f>
        <v>180.70397032609668</v>
      </c>
    </row>
    <row r="51" spans="1:27" x14ac:dyDescent="0.35">
      <c r="A51" s="47">
        <f t="shared" si="3"/>
        <v>2041</v>
      </c>
      <c r="B51" s="18">
        <f>'SEI Scenario LAT'!P24</f>
        <v>181.85408903910908</v>
      </c>
      <c r="C51" s="18">
        <f>'SEI Scenario LAT'!U24</f>
        <v>3259.666390307752</v>
      </c>
      <c r="D51" s="18">
        <f>'SEI Scenario LAT'!Z24</f>
        <v>0</v>
      </c>
      <c r="E51" s="18">
        <f>'SEI Scenario LAT'!AE24</f>
        <v>0</v>
      </c>
      <c r="G51" s="47">
        <f t="shared" si="4"/>
        <v>2041</v>
      </c>
      <c r="H51" s="18">
        <f>'SEI Scenario LAT'!AN24</f>
        <v>2188.0419755400326</v>
      </c>
      <c r="I51" s="18">
        <f>'SEI Scenario LAT'!AS24</f>
        <v>10.106839350503147</v>
      </c>
      <c r="J51" s="18">
        <f>'SEI Scenario LAT'!AX24</f>
        <v>1133.718518261285</v>
      </c>
      <c r="K51" s="18">
        <f>'SEI Scenario LAT'!BC24</f>
        <v>562.5365821130473</v>
      </c>
      <c r="L51" s="18">
        <f>'SEI Scenario LAT'!BH24</f>
        <v>1758.3278982494503</v>
      </c>
      <c r="N51" s="47">
        <f t="shared" si="5"/>
        <v>2041</v>
      </c>
      <c r="O51" s="18">
        <f>'SEI Scenario LAT'!BQ24</f>
        <v>17.110805525992212</v>
      </c>
      <c r="P51" s="18">
        <f>'SEI Scenario LAT'!BV24</f>
        <v>147.53386985969405</v>
      </c>
      <c r="Q51" s="18">
        <f>'SEI Scenario LAT'!CA24</f>
        <v>19.158035106683801</v>
      </c>
      <c r="R51" s="18">
        <f>'SEI Scenario LAT'!CF24</f>
        <v>586.3633608911955</v>
      </c>
      <c r="S51" s="18">
        <f>'SEI Scenario LAT'!CK24</f>
        <v>70.927019490083268</v>
      </c>
      <c r="T51" s="18">
        <f>'SEI Scenario LAT'!CP24</f>
        <v>3.9040604423932943</v>
      </c>
      <c r="U51" s="18">
        <f>'SEI Scenario LAT'!CU24</f>
        <v>58.998871668016065</v>
      </c>
      <c r="V51" s="18">
        <f>'SEI Scenario LAT'!CZ24</f>
        <v>489.22336802248594</v>
      </c>
      <c r="W51" s="18">
        <f>'SEI Scenario LAT'!DE24</f>
        <v>42.831127966157226</v>
      </c>
      <c r="X51" s="18">
        <f>'SEI Scenario LAT'!DJ24</f>
        <v>1864.4203404973982</v>
      </c>
      <c r="Y51" s="18">
        <f>'SEI Scenario LAT'!DO24</f>
        <v>115.54217807616438</v>
      </c>
      <c r="Z51" s="18">
        <f>'SEI Scenario LAT'!DT24</f>
        <v>39.511833369319092</v>
      </c>
      <c r="AA51" s="18">
        <f>'SEI Scenario LAT'!DY24</f>
        <v>187.84430717310772</v>
      </c>
    </row>
    <row r="52" spans="1:27" x14ac:dyDescent="0.35">
      <c r="A52" s="47">
        <f t="shared" si="3"/>
        <v>2042</v>
      </c>
      <c r="B52" s="18">
        <f>'SEI Scenario LAT'!P25</f>
        <v>189.43764903947752</v>
      </c>
      <c r="C52" s="18">
        <f>'SEI Scenario LAT'!U25</f>
        <v>3574.4788521043615</v>
      </c>
      <c r="D52" s="18">
        <f>'SEI Scenario LAT'!Z25</f>
        <v>0</v>
      </c>
      <c r="E52" s="18">
        <f>'SEI Scenario LAT'!AE25</f>
        <v>0</v>
      </c>
      <c r="G52" s="47">
        <f t="shared" si="4"/>
        <v>2042</v>
      </c>
      <c r="H52" s="18">
        <f>'SEI Scenario LAT'!AN25</f>
        <v>2306.6651074560496</v>
      </c>
      <c r="I52" s="18">
        <f>'SEI Scenario LAT'!AS25</f>
        <v>9.9392940700964818</v>
      </c>
      <c r="J52" s="18">
        <f>'SEI Scenario LAT'!AX25</f>
        <v>1124.9687098615443</v>
      </c>
      <c r="K52" s="18">
        <f>'SEI Scenario LAT'!BC25</f>
        <v>590.96654120526478</v>
      </c>
      <c r="L52" s="18">
        <f>'SEI Scenario LAT'!BH25</f>
        <v>1729.179365207377</v>
      </c>
      <c r="N52" s="47">
        <f t="shared" si="5"/>
        <v>2042</v>
      </c>
      <c r="O52" s="18">
        <f>'SEI Scenario LAT'!BQ25</f>
        <v>17.30849056118366</v>
      </c>
      <c r="P52" s="18">
        <f>'SEI Scenario LAT'!BV25</f>
        <v>152.94910672988311</v>
      </c>
      <c r="Q52" s="18">
        <f>'SEI Scenario LAT'!CA25</f>
        <v>19.903473122775022</v>
      </c>
      <c r="R52" s="18">
        <f>'SEI Scenario LAT'!CF25</f>
        <v>612.93372223819313</v>
      </c>
      <c r="S52" s="18">
        <f>'SEI Scenario LAT'!CK25</f>
        <v>73.527193602521635</v>
      </c>
      <c r="T52" s="18">
        <f>'SEI Scenario LAT'!CP25</f>
        <v>4.0554344107597942</v>
      </c>
      <c r="U52" s="18">
        <f>'SEI Scenario LAT'!CU25</f>
        <v>63.605612371851571</v>
      </c>
      <c r="V52" s="18">
        <f>'SEI Scenario LAT'!CZ25</f>
        <v>506.74388507568273</v>
      </c>
      <c r="W52" s="18">
        <f>'SEI Scenario LAT'!DE25</f>
        <v>44.302494058151865</v>
      </c>
      <c r="X52" s="18">
        <f>'SEI Scenario LAT'!DJ25</f>
        <v>1965.939226390554</v>
      </c>
      <c r="Y52" s="18">
        <f>'SEI Scenario LAT'!DO25</f>
        <v>120.6751820632897</v>
      </c>
      <c r="Z52" s="18">
        <f>'SEI Scenario LAT'!DT25</f>
        <v>41.270687631935644</v>
      </c>
      <c r="AA52" s="18">
        <f>'SEI Scenario LAT'!DY25</f>
        <v>194.64958607825636</v>
      </c>
    </row>
    <row r="53" spans="1:27" x14ac:dyDescent="0.35">
      <c r="A53" s="47">
        <f t="shared" si="3"/>
        <v>2043</v>
      </c>
      <c r="B53" s="18">
        <f>'SEI Scenario LAT'!P26</f>
        <v>196.30805483423845</v>
      </c>
      <c r="C53" s="18">
        <f>'SEI Scenario LAT'!U26</f>
        <v>3855.0428532156452</v>
      </c>
      <c r="D53" s="18">
        <f>'SEI Scenario LAT'!Z26</f>
        <v>0</v>
      </c>
      <c r="E53" s="18">
        <f>'SEI Scenario LAT'!AE26</f>
        <v>0</v>
      </c>
      <c r="G53" s="47">
        <f t="shared" si="4"/>
        <v>2043</v>
      </c>
      <c r="H53" s="18">
        <f>'SEI Scenario LAT'!AN26</f>
        <v>2400.75673749321</v>
      </c>
      <c r="I53" s="18">
        <f>'SEI Scenario LAT'!AS26</f>
        <v>9.776089490180853</v>
      </c>
      <c r="J53" s="18">
        <f>'SEI Scenario LAT'!AX26</f>
        <v>1115.0541087824852</v>
      </c>
      <c r="K53" s="18">
        <f>'SEI Scenario LAT'!BC26</f>
        <v>613.42954511289201</v>
      </c>
      <c r="L53" s="18">
        <f>'SEI Scenario LAT'!BH26</f>
        <v>1700.786001462712</v>
      </c>
      <c r="N53" s="47">
        <f t="shared" si="5"/>
        <v>2043</v>
      </c>
      <c r="O53" s="18">
        <f>'SEI Scenario LAT'!BQ26</f>
        <v>17.511834640864301</v>
      </c>
      <c r="P53" s="18">
        <f>'SEI Scenario LAT'!BV26</f>
        <v>157.99949443039057</v>
      </c>
      <c r="Q53" s="18">
        <f>'SEI Scenario LAT'!CA26</f>
        <v>20.596824854332972</v>
      </c>
      <c r="R53" s="18">
        <f>'SEI Scenario LAT'!CF26</f>
        <v>637.4913207625558</v>
      </c>
      <c r="S53" s="18">
        <f>'SEI Scenario LAT'!CK26</f>
        <v>75.952323479502937</v>
      </c>
      <c r="T53" s="18">
        <f>'SEI Scenario LAT'!CP26</f>
        <v>4.1962535294123935</v>
      </c>
      <c r="U53" s="18">
        <f>'SEI Scenario LAT'!CU26</f>
        <v>67.794326733050141</v>
      </c>
      <c r="V53" s="18">
        <f>'SEI Scenario LAT'!CZ26</f>
        <v>523.10321117186345</v>
      </c>
      <c r="W53" s="18">
        <f>'SEI Scenario LAT'!DE26</f>
        <v>45.679170401135131</v>
      </c>
      <c r="X53" s="18">
        <f>'SEI Scenario LAT'!DJ26</f>
        <v>2059.1593575665916</v>
      </c>
      <c r="Y53" s="18">
        <f>'SEI Scenario LAT'!DO26</f>
        <v>125.42301651722899</v>
      </c>
      <c r="Z53" s="18">
        <f>'SEI Scenario LAT'!DT26</f>
        <v>42.897432787083368</v>
      </c>
      <c r="AA53" s="18">
        <f>'SEI Scenario LAT'!DY26</f>
        <v>201.00031143715944</v>
      </c>
    </row>
    <row r="54" spans="1:27" x14ac:dyDescent="0.35">
      <c r="A54" s="47">
        <f t="shared" si="3"/>
        <v>2044</v>
      </c>
      <c r="B54" s="18">
        <f>'SEI Scenario LAT'!P27</f>
        <v>202.40992849543926</v>
      </c>
      <c r="C54" s="18">
        <f>'SEI Scenario LAT'!U27</f>
        <v>4098.8877037765706</v>
      </c>
      <c r="D54" s="18">
        <f>'SEI Scenario LAT'!Z27</f>
        <v>0</v>
      </c>
      <c r="E54" s="18">
        <f>'SEI Scenario LAT'!AE27</f>
        <v>0</v>
      </c>
      <c r="G54" s="47">
        <f t="shared" si="4"/>
        <v>2044</v>
      </c>
      <c r="H54" s="18">
        <f>'SEI Scenario LAT'!AN27</f>
        <v>2470.5686092591618</v>
      </c>
      <c r="I54" s="18">
        <f>'SEI Scenario LAT'!AS27</f>
        <v>9.6168797070955652</v>
      </c>
      <c r="J54" s="18">
        <f>'SEI Scenario LAT'!AX27</f>
        <v>1103.9570943584067</v>
      </c>
      <c r="K54" s="18">
        <f>'SEI Scenario LAT'!BC27</f>
        <v>629.9859562020896</v>
      </c>
      <c r="L54" s="18">
        <f>'SEI Scenario LAT'!BH27</f>
        <v>1673.0876287504589</v>
      </c>
      <c r="N54" s="47">
        <f t="shared" si="5"/>
        <v>2044</v>
      </c>
      <c r="O54" s="18">
        <f>'SEI Scenario LAT'!BQ27</f>
        <v>17.720597726434292</v>
      </c>
      <c r="P54" s="18">
        <f>'SEI Scenario LAT'!BV27</f>
        <v>162.64616540870574</v>
      </c>
      <c r="Q54" s="18">
        <f>'SEI Scenario LAT'!CA27</f>
        <v>21.232624257525597</v>
      </c>
      <c r="R54" s="18">
        <f>'SEI Scenario LAT'!CF27</f>
        <v>659.8316224336412</v>
      </c>
      <c r="S54" s="18">
        <f>'SEI Scenario LAT'!CK27</f>
        <v>78.183755299458724</v>
      </c>
      <c r="T54" s="18">
        <f>'SEI Scenario LAT'!CP27</f>
        <v>4.3254092011376795</v>
      </c>
      <c r="U54" s="18">
        <f>'SEI Scenario LAT'!CU27</f>
        <v>71.525263405842736</v>
      </c>
      <c r="V54" s="18">
        <f>'SEI Scenario LAT'!CZ27</f>
        <v>538.17678928983889</v>
      </c>
      <c r="W54" s="18">
        <f>'SEI Scenario LAT'!DE27</f>
        <v>46.950872323015957</v>
      </c>
      <c r="X54" s="18">
        <f>'SEI Scenario LAT'!DJ27</f>
        <v>2143.2614631273309</v>
      </c>
      <c r="Y54" s="18">
        <f>'SEI Scenario LAT'!DO27</f>
        <v>129.74639622526547</v>
      </c>
      <c r="Z54" s="18">
        <f>'SEI Scenario LAT'!DT27</f>
        <v>44.37859954281312</v>
      </c>
      <c r="AA54" s="18">
        <f>'SEI Scenario LAT'!DY27</f>
        <v>206.84788405117462</v>
      </c>
    </row>
    <row r="55" spans="1:27" x14ac:dyDescent="0.35">
      <c r="A55" s="47">
        <f t="shared" si="3"/>
        <v>2045</v>
      </c>
      <c r="B55" s="18">
        <f>'SEI Scenario LAT'!P28</f>
        <v>207.76151345277111</v>
      </c>
      <c r="C55" s="18">
        <f>'SEI Scenario LAT'!U28</f>
        <v>4306.9851255238591</v>
      </c>
      <c r="D55" s="18">
        <f>'SEI Scenario LAT'!Z28</f>
        <v>0</v>
      </c>
      <c r="E55" s="18">
        <f>'SEI Scenario LAT'!AE28</f>
        <v>0</v>
      </c>
      <c r="G55" s="47">
        <f t="shared" si="4"/>
        <v>2045</v>
      </c>
      <c r="H55" s="18">
        <f>'SEI Scenario LAT'!AN28</f>
        <v>2518.1064645772794</v>
      </c>
      <c r="I55" s="18">
        <f>'SEI Scenario LAT'!AS28</f>
        <v>9.4613041190768339</v>
      </c>
      <c r="J55" s="18">
        <f>'SEI Scenario LAT'!AX28</f>
        <v>1091.7723430702076</v>
      </c>
      <c r="K55" s="18">
        <f>'SEI Scenario LAT'!BC28</f>
        <v>641.1236275079691</v>
      </c>
      <c r="L55" s="18">
        <f>'SEI Scenario LAT'!BH28</f>
        <v>1646.0215117169196</v>
      </c>
      <c r="N55" s="47">
        <f t="shared" si="5"/>
        <v>2045</v>
      </c>
      <c r="O55" s="18">
        <f>'SEI Scenario LAT'!BQ28</f>
        <v>17.934410481659526</v>
      </c>
      <c r="P55" s="18">
        <f>'SEI Scenario LAT'!BV28</f>
        <v>166.89315958057122</v>
      </c>
      <c r="Q55" s="18">
        <f>'SEI Scenario LAT'!CA28</f>
        <v>21.811478176116626</v>
      </c>
      <c r="R55" s="18">
        <f>'SEI Scenario LAT'!CF28</f>
        <v>679.9805112949781</v>
      </c>
      <c r="S55" s="18">
        <f>'SEI Scenario LAT'!CK28</f>
        <v>80.223425014928878</v>
      </c>
      <c r="T55" s="18">
        <f>'SEI Scenario LAT'!CP28</f>
        <v>4.4430240524072575</v>
      </c>
      <c r="U55" s="18">
        <f>'SEI Scenario LAT'!CU28</f>
        <v>74.804790684939803</v>
      </c>
      <c r="V55" s="18">
        <f>'SEI Scenario LAT'!CZ28</f>
        <v>551.97716610231669</v>
      </c>
      <c r="W55" s="18">
        <f>'SEI Scenario LAT'!DE28</f>
        <v>48.118576513284999</v>
      </c>
      <c r="X55" s="18">
        <f>'SEI Scenario LAT'!DJ28</f>
        <v>2218.3610099688935</v>
      </c>
      <c r="Y55" s="18">
        <f>'SEI Scenario LAT'!DO28</f>
        <v>133.65022175169688</v>
      </c>
      <c r="Z55" s="18">
        <f>'SEI Scenario LAT'!DT28</f>
        <v>45.715870605420932</v>
      </c>
      <c r="AA55" s="18">
        <f>'SEI Scenario LAT'!DY28</f>
        <v>212.19727330286352</v>
      </c>
    </row>
    <row r="56" spans="1:27" x14ac:dyDescent="0.35">
      <c r="A56" s="47">
        <f t="shared" si="3"/>
        <v>2046</v>
      </c>
      <c r="B56" s="18">
        <f>'SEI Scenario LAT'!P29</f>
        <v>212.43769230731101</v>
      </c>
      <c r="C56" s="18">
        <f>'SEI Scenario LAT'!U29</f>
        <v>4482.7423723890288</v>
      </c>
      <c r="D56" s="18">
        <f>'SEI Scenario LAT'!Z29</f>
        <v>0</v>
      </c>
      <c r="E56" s="18">
        <f>'SEI Scenario LAT'!AE29</f>
        <v>0</v>
      </c>
      <c r="G56" s="47">
        <f t="shared" si="4"/>
        <v>2046</v>
      </c>
      <c r="H56" s="18">
        <f>'SEI Scenario LAT'!AN29</f>
        <v>2546.4530696530164</v>
      </c>
      <c r="I56" s="18">
        <f>'SEI Scenario LAT'!AS29</f>
        <v>9.3093671278779251</v>
      </c>
      <c r="J56" s="18">
        <f>'SEI Scenario LAT'!AX29</f>
        <v>1078.7001915438134</v>
      </c>
      <c r="K56" s="18">
        <f>'SEI Scenario LAT'!BC29</f>
        <v>647.59398911941173</v>
      </c>
      <c r="L56" s="18">
        <f>'SEI Scenario LAT'!BH29</f>
        <v>1619.5884161529912</v>
      </c>
      <c r="N56" s="47">
        <f t="shared" si="5"/>
        <v>2046</v>
      </c>
      <c r="O56" s="18">
        <f>'SEI Scenario LAT'!BQ29</f>
        <v>18.153523094491092</v>
      </c>
      <c r="P56" s="18">
        <f>'SEI Scenario LAT'!BV29</f>
        <v>170.78004776725959</v>
      </c>
      <c r="Q56" s="18">
        <f>'SEI Scenario LAT'!CA29</f>
        <v>22.338950986551072</v>
      </c>
      <c r="R56" s="18">
        <f>'SEI Scenario LAT'!CF29</f>
        <v>698.14615411122998</v>
      </c>
      <c r="S56" s="18">
        <f>'SEI Scenario LAT'!CK29</f>
        <v>82.090324012617728</v>
      </c>
      <c r="T56" s="18">
        <f>'SEI Scenario LAT'!CP29</f>
        <v>4.5502266304280985</v>
      </c>
      <c r="U56" s="18">
        <f>'SEI Scenario LAT'!CU29</f>
        <v>77.67334624215836</v>
      </c>
      <c r="V56" s="18">
        <f>'SEI Scenario LAT'!CZ29</f>
        <v>564.63115825099271</v>
      </c>
      <c r="W56" s="18">
        <f>'SEI Scenario LAT'!DE29</f>
        <v>49.192755093946111</v>
      </c>
      <c r="X56" s="18">
        <f>'SEI Scenario LAT'!DJ29</f>
        <v>2285.2916465079979</v>
      </c>
      <c r="Y56" s="18">
        <f>'SEI Scenario LAT'!DO29</f>
        <v>137.17447710083783</v>
      </c>
      <c r="Z56" s="18">
        <f>'SEI Scenario LAT'!DT29</f>
        <v>46.922954817038438</v>
      </c>
      <c r="AA56" s="18">
        <f>'SEI Scenario LAT'!DY29</f>
        <v>217.09795895202964</v>
      </c>
    </row>
    <row r="57" spans="1:27" x14ac:dyDescent="0.35">
      <c r="A57" s="47">
        <f t="shared" si="3"/>
        <v>2047</v>
      </c>
      <c r="B57" s="18">
        <f>'SEI Scenario LAT'!P30</f>
        <v>216.53146307658722</v>
      </c>
      <c r="C57" s="18">
        <f>'SEI Scenario LAT'!U30</f>
        <v>4630.5809010552994</v>
      </c>
      <c r="D57" s="18">
        <f>'SEI Scenario LAT'!Z30</f>
        <v>0</v>
      </c>
      <c r="E57" s="18">
        <f>'SEI Scenario LAT'!AE30</f>
        <v>0</v>
      </c>
      <c r="G57" s="47">
        <f t="shared" si="4"/>
        <v>2047</v>
      </c>
      <c r="H57" s="18">
        <f>'SEI Scenario LAT'!AN30</f>
        <v>2558.936656718894</v>
      </c>
      <c r="I57" s="18">
        <f>'SEI Scenario LAT'!AS30</f>
        <v>9.1607748478012052</v>
      </c>
      <c r="J57" s="18">
        <f>'SEI Scenario LAT'!AX30</f>
        <v>1064.9276214732433</v>
      </c>
      <c r="K57" s="18">
        <f>'SEI Scenario LAT'!BC30</f>
        <v>650.20744094419285</v>
      </c>
      <c r="L57" s="18">
        <f>'SEI Scenario LAT'!BH30</f>
        <v>1593.7372135700207</v>
      </c>
      <c r="N57" s="47">
        <f t="shared" si="5"/>
        <v>2047</v>
      </c>
      <c r="O57" s="18">
        <f>'SEI Scenario LAT'!BQ30</f>
        <v>18.377588512930402</v>
      </c>
      <c r="P57" s="18">
        <f>'SEI Scenario LAT'!BV30</f>
        <v>174.35661617075942</v>
      </c>
      <c r="Q57" s="18">
        <f>'SEI Scenario LAT'!CA30</f>
        <v>22.822108493174674</v>
      </c>
      <c r="R57" s="18">
        <f>'SEI Scenario LAT'!CF30</f>
        <v>714.59821950999662</v>
      </c>
      <c r="S57" s="18">
        <f>'SEI Scenario LAT'!CK30</f>
        <v>83.808341459963856</v>
      </c>
      <c r="T57" s="18">
        <f>'SEI Scenario LAT'!CP30</f>
        <v>4.6484492400930613</v>
      </c>
      <c r="U57" s="18">
        <f>'SEI Scenario LAT'!CU30</f>
        <v>80.185561007388088</v>
      </c>
      <c r="V57" s="18">
        <f>'SEI Scenario LAT'!CZ30</f>
        <v>576.29764947269894</v>
      </c>
      <c r="W57" s="18">
        <f>'SEI Scenario LAT'!DE30</f>
        <v>50.18642867257303</v>
      </c>
      <c r="X57" s="18">
        <f>'SEI Scenario LAT'!DJ30</f>
        <v>2345.1531102345716</v>
      </c>
      <c r="Y57" s="18">
        <f>'SEI Scenario LAT'!DO30</f>
        <v>140.37084009194461</v>
      </c>
      <c r="Z57" s="18">
        <f>'SEI Scenario LAT'!DT30</f>
        <v>48.017574542871742</v>
      </c>
      <c r="AA57" s="18">
        <f>'SEI Scenario LAT'!DY30</f>
        <v>221.61205645696072</v>
      </c>
    </row>
    <row r="58" spans="1:27" x14ac:dyDescent="0.35">
      <c r="A58" s="47">
        <f t="shared" si="3"/>
        <v>2048</v>
      </c>
      <c r="B58" s="18">
        <f>'SEI Scenario LAT'!P31</f>
        <v>220.14235933630516</v>
      </c>
      <c r="C58" s="18">
        <f>'SEI Scenario LAT'!U31</f>
        <v>4755.2150534521952</v>
      </c>
      <c r="D58" s="18">
        <f>'SEI Scenario LAT'!Z31</f>
        <v>0</v>
      </c>
      <c r="E58" s="18">
        <f>'SEI Scenario LAT'!AE31</f>
        <v>0</v>
      </c>
      <c r="G58" s="47">
        <f t="shared" si="4"/>
        <v>2048</v>
      </c>
      <c r="H58" s="18">
        <f>'SEI Scenario LAT'!AN31</f>
        <v>2558.7674777302814</v>
      </c>
      <c r="I58" s="18">
        <f>'SEI Scenario LAT'!AS31</f>
        <v>9.0152719449484913</v>
      </c>
      <c r="J58" s="18">
        <f>'SEI Scenario LAT'!AX31</f>
        <v>1050.6377472931961</v>
      </c>
      <c r="K58" s="18">
        <f>'SEI Scenario LAT'!BC31</f>
        <v>649.74573686643987</v>
      </c>
      <c r="L58" s="18">
        <f>'SEI Scenario LAT'!BH31</f>
        <v>1568.4234824925134</v>
      </c>
      <c r="N58" s="47">
        <f t="shared" si="5"/>
        <v>2048</v>
      </c>
      <c r="O58" s="18">
        <f>'SEI Scenario LAT'!BQ31</f>
        <v>18.606285173235758</v>
      </c>
      <c r="P58" s="18">
        <f>'SEI Scenario LAT'!BV31</f>
        <v>177.6776252397388</v>
      </c>
      <c r="Q58" s="18">
        <f>'SEI Scenario LAT'!CA31</f>
        <v>23.268716554938706</v>
      </c>
      <c r="R58" s="18">
        <f>'SEI Scenario LAT'!CF31</f>
        <v>729.63261362886965</v>
      </c>
      <c r="S58" s="18">
        <f>'SEI Scenario LAT'!CK31</f>
        <v>85.403753790637595</v>
      </c>
      <c r="T58" s="18">
        <f>'SEI Scenario LAT'!CP31</f>
        <v>4.7392661620857339</v>
      </c>
      <c r="U58" s="18">
        <f>'SEI Scenario LAT'!CU31</f>
        <v>82.40118294067338</v>
      </c>
      <c r="V58" s="18">
        <f>'SEI Scenario LAT'!CZ31</f>
        <v>587.15145893347812</v>
      </c>
      <c r="W58" s="18">
        <f>'SEI Scenario LAT'!DE31</f>
        <v>51.113932858280315</v>
      </c>
      <c r="X58" s="18">
        <f>'SEI Scenario LAT'!DJ31</f>
        <v>2399.150390648982</v>
      </c>
      <c r="Y58" s="18">
        <f>'SEI Scenario LAT'!DO31</f>
        <v>143.2960270866983</v>
      </c>
      <c r="Z58" s="18">
        <f>'SEI Scenario LAT'!DT31</f>
        <v>49.019179691371257</v>
      </c>
      <c r="AA58" s="18">
        <f>'SEI Scenario LAT'!DY31</f>
        <v>225.80789988435302</v>
      </c>
    </row>
    <row r="59" spans="1:27" x14ac:dyDescent="0.35">
      <c r="A59" s="47">
        <f t="shared" si="3"/>
        <v>2049</v>
      </c>
      <c r="B59" s="18">
        <f>'SEI Scenario LAT'!P32</f>
        <v>223.36872272401271</v>
      </c>
      <c r="C59" s="18">
        <f>'SEI Scenario LAT'!U32</f>
        <v>4861.1955110784156</v>
      </c>
      <c r="D59" s="18">
        <f>'SEI Scenario LAT'!Z32</f>
        <v>0</v>
      </c>
      <c r="E59" s="18">
        <f>'SEI Scenario LAT'!AE32</f>
        <v>0</v>
      </c>
      <c r="G59" s="47">
        <f t="shared" si="4"/>
        <v>2049</v>
      </c>
      <c r="H59" s="18">
        <f>'SEI Scenario LAT'!AN32</f>
        <v>2548.8366152603098</v>
      </c>
      <c r="I59" s="18">
        <f>'SEI Scenario LAT'!AS32</f>
        <v>8.872795229555523</v>
      </c>
      <c r="J59" s="18">
        <f>'SEI Scenario LAT'!AX32</f>
        <v>1036.0118426549059</v>
      </c>
      <c r="K59" s="18">
        <f>'SEI Scenario LAT'!BC32</f>
        <v>646.91338919567931</v>
      </c>
      <c r="L59" s="18">
        <f>'SEI Scenario LAT'!BH32</f>
        <v>1543.6362295404881</v>
      </c>
      <c r="N59" s="47">
        <f t="shared" si="5"/>
        <v>2049</v>
      </c>
      <c r="O59" s="18">
        <f>'SEI Scenario LAT'!BQ32</f>
        <v>18.839658801273028</v>
      </c>
      <c r="P59" s="18">
        <f>'SEI Scenario LAT'!BV32</f>
        <v>180.79904362719441</v>
      </c>
      <c r="Q59" s="18">
        <f>'SEI Scenario LAT'!CA32</f>
        <v>23.686675625777625</v>
      </c>
      <c r="R59" s="18">
        <f>'SEI Scenario LAT'!CF32</f>
        <v>743.54738008585639</v>
      </c>
      <c r="S59" s="18">
        <f>'SEI Scenario LAT'!CK32</f>
        <v>86.903419975223741</v>
      </c>
      <c r="T59" s="18">
        <f>'SEI Scenario LAT'!CP32</f>
        <v>4.8242793863358981</v>
      </c>
      <c r="U59" s="18">
        <f>'SEI Scenario LAT'!CU32</f>
        <v>84.379154619216209</v>
      </c>
      <c r="V59" s="18">
        <f>'SEI Scenario LAT'!CZ32</f>
        <v>597.37164258595442</v>
      </c>
      <c r="W59" s="18">
        <f>'SEI Scenario LAT'!DE32</f>
        <v>51.990007199285841</v>
      </c>
      <c r="X59" s="18">
        <f>'SEI Scenario LAT'!DJ32</f>
        <v>2448.4862820342523</v>
      </c>
      <c r="Y59" s="18">
        <f>'SEI Scenario LAT'!DO32</f>
        <v>146.00722981857569</v>
      </c>
      <c r="Z59" s="18">
        <f>'SEI Scenario LAT'!DT32</f>
        <v>49.947380871976627</v>
      </c>
      <c r="AA59" s="18">
        <f>'SEI Scenario LAT'!DY32</f>
        <v>229.75540889085048</v>
      </c>
    </row>
    <row r="60" spans="1:27" x14ac:dyDescent="0.35">
      <c r="A60" s="47">
        <f t="shared" si="3"/>
        <v>2050</v>
      </c>
      <c r="B60" s="18">
        <f>'SEI Scenario LAT'!P33</f>
        <v>226.30473479627426</v>
      </c>
      <c r="C60" s="18">
        <f>'SEI Scenario LAT'!U33</f>
        <v>4952.6985826185191</v>
      </c>
      <c r="D60" s="18">
        <f>'SEI Scenario LAT'!Z33</f>
        <v>0</v>
      </c>
      <c r="E60" s="18">
        <f>'SEI Scenario LAT'!AE33</f>
        <v>0</v>
      </c>
      <c r="G60" s="47">
        <f t="shared" si="4"/>
        <v>2050</v>
      </c>
      <c r="H60" s="18">
        <f>'SEI Scenario LAT'!AN33</f>
        <v>2531.6499173603052</v>
      </c>
      <c r="I60" s="18">
        <f>'SEI Scenario LAT'!AS33</f>
        <v>8.7335664179849779</v>
      </c>
      <c r="J60" s="18">
        <f>'SEI Scenario LAT'!AX33</f>
        <v>1021.2341595576524</v>
      </c>
      <c r="K60" s="18">
        <f>'SEI Scenario LAT'!BC33</f>
        <v>642.32183349581373</v>
      </c>
      <c r="L60" s="18">
        <f>'SEI Scenario LAT'!BH33</f>
        <v>1519.4140276102262</v>
      </c>
      <c r="N60" s="47">
        <f t="shared" si="5"/>
        <v>2050</v>
      </c>
      <c r="O60" s="18">
        <f>'SEI Scenario LAT'!BQ33</f>
        <v>19.078384718913821</v>
      </c>
      <c r="P60" s="18">
        <f>'SEI Scenario LAT'!BV33</f>
        <v>183.77686538063185</v>
      </c>
      <c r="Q60" s="18">
        <f>'SEI Scenario LAT'!CA33</f>
        <v>24.083827950097081</v>
      </c>
      <c r="R60" s="18">
        <f>'SEI Scenario LAT'!CF33</f>
        <v>756.63331331588245</v>
      </c>
      <c r="S60" s="18">
        <f>'SEI Scenario LAT'!CK33</f>
        <v>88.334215859635918</v>
      </c>
      <c r="T60" s="18">
        <f>'SEI Scenario LAT'!CP33</f>
        <v>4.9050798165165697</v>
      </c>
      <c r="U60" s="18">
        <f>'SEI Scenario LAT'!CU33</f>
        <v>86.174874210604628</v>
      </c>
      <c r="V60" s="18">
        <f>'SEI Scenario LAT'!CZ33</f>
        <v>607.1379760939451</v>
      </c>
      <c r="W60" s="18">
        <f>'SEI Scenario LAT'!DE33</f>
        <v>52.829545319722442</v>
      </c>
      <c r="X60" s="18">
        <f>'SEI Scenario LAT'!DJ33</f>
        <v>2494.3157247412009</v>
      </c>
      <c r="Y60" s="18">
        <f>'SEI Scenario LAT'!DO33</f>
        <v>148.560361049623</v>
      </c>
      <c r="Z60" s="18">
        <f>'SEI Scenario LAT'!DT33</f>
        <v>50.821346190847628</v>
      </c>
      <c r="AA60" s="18">
        <f>'SEI Scenario LAT'!DY33</f>
        <v>233.52466586443893</v>
      </c>
    </row>
    <row r="62" spans="1:27" ht="18" customHeight="1" x14ac:dyDescent="0.35">
      <c r="A62" s="33" t="s">
        <v>17</v>
      </c>
    </row>
    <row r="63" spans="1:27" ht="52" x14ac:dyDescent="0.35">
      <c r="A63" s="28" t="s">
        <v>73</v>
      </c>
      <c r="B63" s="11" t="s">
        <v>220</v>
      </c>
      <c r="C63" s="11" t="s">
        <v>221</v>
      </c>
      <c r="D63" s="11" t="s">
        <v>158</v>
      </c>
      <c r="E63" s="11" t="s">
        <v>175</v>
      </c>
      <c r="F63" s="7"/>
      <c r="G63" s="28" t="s">
        <v>73</v>
      </c>
      <c r="H63" s="11" t="s">
        <v>159</v>
      </c>
      <c r="I63" s="11" t="s">
        <v>160</v>
      </c>
      <c r="J63" s="11" t="s">
        <v>161</v>
      </c>
      <c r="K63" s="11" t="s">
        <v>162</v>
      </c>
      <c r="L63" s="11" t="s">
        <v>179</v>
      </c>
      <c r="M63" s="7"/>
      <c r="N63" s="28" t="s">
        <v>73</v>
      </c>
      <c r="O63" s="11" t="s">
        <v>31</v>
      </c>
      <c r="P63" s="11" t="s">
        <v>33</v>
      </c>
      <c r="Q63" s="11" t="s">
        <v>34</v>
      </c>
      <c r="R63" s="11" t="s">
        <v>164</v>
      </c>
      <c r="S63" s="11" t="s">
        <v>36</v>
      </c>
      <c r="T63" s="11" t="s">
        <v>37</v>
      </c>
      <c r="U63" s="11" t="s">
        <v>38</v>
      </c>
      <c r="V63" s="11" t="s">
        <v>40</v>
      </c>
      <c r="W63" s="11" t="s">
        <v>41</v>
      </c>
      <c r="X63" s="11" t="s">
        <v>42</v>
      </c>
      <c r="Y63" s="11" t="s">
        <v>43</v>
      </c>
      <c r="Z63" s="11" t="s">
        <v>44</v>
      </c>
      <c r="AA63" s="11" t="s">
        <v>45</v>
      </c>
    </row>
    <row r="64" spans="1:27" x14ac:dyDescent="0.35">
      <c r="A64" s="47">
        <v>2024</v>
      </c>
      <c r="B64" s="18">
        <f>'SEI Scenario LIT'!P7</f>
        <v>14.958756075261876</v>
      </c>
      <c r="C64" s="18">
        <f>'SEI Scenario LIT'!U7</f>
        <v>85.475025135732949</v>
      </c>
      <c r="D64" s="18">
        <f>'SEI Scenario LIT'!Z7</f>
        <v>0</v>
      </c>
      <c r="E64" s="18">
        <f>'SEI Scenario LIT'!AE7</f>
        <v>0</v>
      </c>
      <c r="G64" s="47">
        <v>2024</v>
      </c>
      <c r="H64" s="18">
        <f>'SEI Scenario LIT'!AN7</f>
        <v>496.73014382607278</v>
      </c>
      <c r="I64" s="18">
        <f>'SEI Scenario LIT'!AS7</f>
        <v>33.200426005941615</v>
      </c>
      <c r="J64" s="18">
        <f>'SEI Scenario LIT'!AX7</f>
        <v>550.26277196048295</v>
      </c>
      <c r="K64" s="18">
        <f>'SEI Scenario LIT'!BC7</f>
        <v>387.88974515802431</v>
      </c>
      <c r="L64" s="18">
        <f>'SEI Scenario LIT'!BH7</f>
        <v>4530.2939307774923</v>
      </c>
      <c r="N64" s="47">
        <v>2024</v>
      </c>
      <c r="O64" s="18">
        <f>'SEI Scenario LIT'!BQ7</f>
        <v>17.964542776629212</v>
      </c>
      <c r="P64" s="18">
        <f>'SEI Scenario LIT'!BV7</f>
        <v>527.04929728249965</v>
      </c>
      <c r="Q64" s="18">
        <f>'SEI Scenario LIT'!CA7</f>
        <v>0</v>
      </c>
      <c r="R64" s="18">
        <f>'SEI Scenario LIT'!CF7</f>
        <v>242.38726373242983</v>
      </c>
      <c r="S64" s="18">
        <f>'SEI Scenario LIT'!CK7</f>
        <v>56.753655040594751</v>
      </c>
      <c r="T64" s="18">
        <f>'SEI Scenario LIT'!CP7</f>
        <v>232.91342525321255</v>
      </c>
      <c r="U64" s="18">
        <f>'SEI Scenario LIT'!CU7</f>
        <v>36.107837222677595</v>
      </c>
      <c r="V64" s="18">
        <f>'SEI Scenario LIT'!CZ7</f>
        <v>727.96617370967624</v>
      </c>
      <c r="W64" s="18">
        <f>'SEI Scenario LIT'!DE7</f>
        <v>192.60492379918369</v>
      </c>
      <c r="X64" s="18">
        <f>'SEI Scenario LIT'!DJ7</f>
        <v>347.13574201207882</v>
      </c>
      <c r="Y64" s="18">
        <f>'SEI Scenario LIT'!DO7</f>
        <v>124.05365857692206</v>
      </c>
      <c r="Z64" s="18">
        <f>'SEI Scenario LIT'!DT7</f>
        <v>157.21209325418292</v>
      </c>
      <c r="AA64" s="18">
        <f>'SEI Scenario LIT'!DY7</f>
        <v>508.90600283645131</v>
      </c>
    </row>
    <row r="65" spans="1:27" x14ac:dyDescent="0.35">
      <c r="A65" s="47">
        <f t="shared" ref="A65:A90" si="6">A64+1</f>
        <v>2025</v>
      </c>
      <c r="B65" s="18">
        <f>'SEI Scenario LIT'!P8</f>
        <v>17.158654445563489</v>
      </c>
      <c r="C65" s="18">
        <f>'SEI Scenario LIT'!U8</f>
        <v>229.37064673405089</v>
      </c>
      <c r="D65" s="18">
        <f>'SEI Scenario LIT'!Z8</f>
        <v>0</v>
      </c>
      <c r="E65" s="18">
        <f>'SEI Scenario LIT'!AE8</f>
        <v>0</v>
      </c>
      <c r="G65" s="47">
        <f t="shared" ref="G65:G90" si="7">G64+1</f>
        <v>2025</v>
      </c>
      <c r="H65" s="18">
        <f>'SEI Scenario LIT'!AN8</f>
        <v>610.86915258210422</v>
      </c>
      <c r="I65" s="18">
        <f>'SEI Scenario LIT'!AS8</f>
        <v>35.126657590857739</v>
      </c>
      <c r="J65" s="18">
        <f>'SEI Scenario LIT'!AX8</f>
        <v>593.1750175358294</v>
      </c>
      <c r="K65" s="18">
        <f>'SEI Scenario LIT'!BC8</f>
        <v>430.83095550408586</v>
      </c>
      <c r="L65" s="18">
        <f>'SEI Scenario LIT'!BH8</f>
        <v>4793.1337888219568</v>
      </c>
      <c r="N65" s="47">
        <f t="shared" ref="N65:N90" si="8">N64+1</f>
        <v>2025</v>
      </c>
      <c r="O65" s="18">
        <f>'SEI Scenario LIT'!BQ8</f>
        <v>19.329565121467571</v>
      </c>
      <c r="P65" s="18">
        <f>'SEI Scenario LIT'!BV8</f>
        <v>582.69067692981503</v>
      </c>
      <c r="Q65" s="18">
        <f>'SEI Scenario LIT'!CA8</f>
        <v>0</v>
      </c>
      <c r="R65" s="18">
        <f>'SEI Scenario LIT'!CF8</f>
        <v>265.28762857417161</v>
      </c>
      <c r="S65" s="18">
        <f>'SEI Scenario LIT'!CK8</f>
        <v>61.106670256553265</v>
      </c>
      <c r="T65" s="18">
        <f>'SEI Scenario LIT'!CP8</f>
        <v>251.43815422169905</v>
      </c>
      <c r="U65" s="18">
        <f>'SEI Scenario LIT'!CU8</f>
        <v>39.371787188160937</v>
      </c>
      <c r="V65" s="18">
        <f>'SEI Scenario LIT'!CZ8</f>
        <v>790.08818409900391</v>
      </c>
      <c r="W65" s="18">
        <f>'SEI Scenario LIT'!DE8</f>
        <v>209.26739195273319</v>
      </c>
      <c r="X65" s="18">
        <f>'SEI Scenario LIT'!DJ8</f>
        <v>373.96803590886213</v>
      </c>
      <c r="Y65" s="18">
        <f>'SEI Scenario LIT'!DO8</f>
        <v>133.92993950897642</v>
      </c>
      <c r="Z65" s="18">
        <f>'SEI Scenario LIT'!DT8</f>
        <v>169.9704774800835</v>
      </c>
      <c r="AA65" s="18">
        <f>'SEI Scenario LIT'!DY8</f>
        <v>547.59729981239548</v>
      </c>
    </row>
    <row r="66" spans="1:27" x14ac:dyDescent="0.35">
      <c r="A66" s="47">
        <f t="shared" si="6"/>
        <v>2026</v>
      </c>
      <c r="B66" s="18">
        <f>'SEI Scenario LIT'!P9</f>
        <v>18.248805624045072</v>
      </c>
      <c r="C66" s="18">
        <f>'SEI Scenario LIT'!U9</f>
        <v>287.54423321676086</v>
      </c>
      <c r="D66" s="18">
        <f>'SEI Scenario LIT'!Z9</f>
        <v>0</v>
      </c>
      <c r="E66" s="18">
        <f>'SEI Scenario LIT'!AE9</f>
        <v>0</v>
      </c>
      <c r="G66" s="47">
        <f t="shared" si="7"/>
        <v>2026</v>
      </c>
      <c r="H66" s="18">
        <f>'SEI Scenario LIT'!AN9</f>
        <v>616.93302337596185</v>
      </c>
      <c r="I66" s="18">
        <f>'SEI Scenario LIT'!AS9</f>
        <v>33.8588667246106</v>
      </c>
      <c r="J66" s="18">
        <f>'SEI Scenario LIT'!AX9</f>
        <v>575.38616475360914</v>
      </c>
      <c r="K66" s="18">
        <f>'SEI Scenario LIT'!BC9</f>
        <v>422.01489471853603</v>
      </c>
      <c r="L66" s="18">
        <f>'SEI Scenario LIT'!BH9</f>
        <v>4620.1400668189108</v>
      </c>
      <c r="N66" s="47">
        <f t="shared" si="8"/>
        <v>2026</v>
      </c>
      <c r="O66" s="18">
        <f>'SEI Scenario LIT'!BQ9</f>
        <v>18.174443966046756</v>
      </c>
      <c r="P66" s="18">
        <f>'SEI Scenario LIT'!BV9</f>
        <v>552.88127548219722</v>
      </c>
      <c r="Q66" s="18">
        <f>'SEI Scenario LIT'!CA9</f>
        <v>0</v>
      </c>
      <c r="R66" s="18">
        <f>'SEI Scenario LIT'!CF9</f>
        <v>250.87495199445016</v>
      </c>
      <c r="S66" s="18">
        <f>'SEI Scenario LIT'!CK9</f>
        <v>57.468037396133369</v>
      </c>
      <c r="T66" s="18">
        <f>'SEI Scenario LIT'!CP9</f>
        <v>236.67817229148409</v>
      </c>
      <c r="U66" s="18">
        <f>'SEI Scenario LIT'!CU9</f>
        <v>37.186185187308645</v>
      </c>
      <c r="V66" s="18">
        <f>'SEI Scenario LIT'!CZ9</f>
        <v>745.0611308443489</v>
      </c>
      <c r="W66" s="18">
        <f>'SEI Scenario LIT'!DE9</f>
        <v>197.41335357705134</v>
      </c>
      <c r="X66" s="18">
        <f>'SEI Scenario LIT'!DJ9</f>
        <v>351.76634689374134</v>
      </c>
      <c r="Y66" s="18">
        <f>'SEI Scenario LIT'!DO9</f>
        <v>126.07105811020826</v>
      </c>
      <c r="Z66" s="18">
        <f>'SEI Scenario LIT'!DT9</f>
        <v>160.07437111400009</v>
      </c>
      <c r="AA66" s="18">
        <f>'SEI Scenario LIT'!DY9</f>
        <v>514.88048894030669</v>
      </c>
    </row>
    <row r="67" spans="1:27" x14ac:dyDescent="0.35">
      <c r="A67" s="47">
        <f t="shared" si="6"/>
        <v>2027</v>
      </c>
      <c r="B67" s="18">
        <f>'SEI Scenario LIT'!P10</f>
        <v>18.794488687089228</v>
      </c>
      <c r="C67" s="18">
        <f>'SEI Scenario LIT'!U10</f>
        <v>352.92520708833285</v>
      </c>
      <c r="D67" s="18">
        <f>'SEI Scenario LIT'!Z10</f>
        <v>0</v>
      </c>
      <c r="E67" s="18">
        <f>'SEI Scenario LIT'!AE10</f>
        <v>0</v>
      </c>
      <c r="G67" s="47">
        <f t="shared" si="7"/>
        <v>2027</v>
      </c>
      <c r="H67" s="18">
        <f>'SEI Scenario LIT'!AN10</f>
        <v>656.1230452628231</v>
      </c>
      <c r="I67" s="18">
        <f>'SEI Scenario LIT'!AS10</f>
        <v>33.950477412929551</v>
      </c>
      <c r="J67" s="18">
        <f>'SEI Scenario LIT'!AX10</f>
        <v>581.77467177326969</v>
      </c>
      <c r="K67" s="18">
        <f>'SEI Scenario LIT'!BC10</f>
        <v>432.14404715483562</v>
      </c>
      <c r="L67" s="18">
        <f>'SEI Scenario LIT'!BH10</f>
        <v>4632.640609589399</v>
      </c>
      <c r="N67" s="47">
        <f t="shared" si="8"/>
        <v>2027</v>
      </c>
      <c r="O67" s="18">
        <f>'SEI Scenario LIT'!BQ10</f>
        <v>18.150671721110772</v>
      </c>
      <c r="P67" s="18">
        <f>'SEI Scenario LIT'!BV10</f>
        <v>558.82065803235764</v>
      </c>
      <c r="Q67" s="18">
        <f>'SEI Scenario LIT'!CA10</f>
        <v>0</v>
      </c>
      <c r="R67" s="18">
        <f>'SEI Scenario LIT'!CF10</f>
        <v>252.4620745616312</v>
      </c>
      <c r="S67" s="18">
        <f>'SEI Scenario LIT'!CK10</f>
        <v>57.410228769998639</v>
      </c>
      <c r="T67" s="18">
        <f>'SEI Scenario LIT'!CP10</f>
        <v>236.72192446044062</v>
      </c>
      <c r="U67" s="18">
        <f>'SEI Scenario LIT'!CU10</f>
        <v>37.359855015941328</v>
      </c>
      <c r="V67" s="18">
        <f>'SEI Scenario LIT'!CZ10</f>
        <v>746.99534513726144</v>
      </c>
      <c r="W67" s="18">
        <f>'SEI Scenario LIT'!DE10</f>
        <v>198.02140300073498</v>
      </c>
      <c r="X67" s="18">
        <f>'SEI Scenario LIT'!DJ10</f>
        <v>351.50082498283206</v>
      </c>
      <c r="Y67" s="18">
        <f>'SEI Scenario LIT'!DO10</f>
        <v>126.09848733702688</v>
      </c>
      <c r="Z67" s="18">
        <f>'SEI Scenario LIT'!DT10</f>
        <v>160.21223913302074</v>
      </c>
      <c r="AA67" s="18">
        <f>'SEI Scenario LIT'!DY10</f>
        <v>514.21661719092936</v>
      </c>
    </row>
    <row r="68" spans="1:27" x14ac:dyDescent="0.35">
      <c r="A68" s="47">
        <f t="shared" si="6"/>
        <v>2028</v>
      </c>
      <c r="B68" s="18">
        <f>'SEI Scenario LIT'!P11</f>
        <v>19.485806151808905</v>
      </c>
      <c r="C68" s="18">
        <f>'SEI Scenario LIT'!U11</f>
        <v>438.90996332271237</v>
      </c>
      <c r="D68" s="18">
        <f>'SEI Scenario LIT'!Z11</f>
        <v>0</v>
      </c>
      <c r="E68" s="18">
        <f>'SEI Scenario LIT'!AE11</f>
        <v>0</v>
      </c>
      <c r="G68" s="47">
        <f t="shared" si="7"/>
        <v>2028</v>
      </c>
      <c r="H68" s="18">
        <f>'SEI Scenario LIT'!AN11</f>
        <v>706.67572198076516</v>
      </c>
      <c r="I68" s="18">
        <f>'SEI Scenario LIT'!AS11</f>
        <v>33.991068370309698</v>
      </c>
      <c r="J68" s="18">
        <f>'SEI Scenario LIT'!AX11</f>
        <v>588.8790920201053</v>
      </c>
      <c r="K68" s="18">
        <f>'SEI Scenario LIT'!BC11</f>
        <v>444.58164828193486</v>
      </c>
      <c r="L68" s="18">
        <f>'SEI Scenario LIT'!BH11</f>
        <v>4638.1793628521073</v>
      </c>
      <c r="N68" s="47">
        <f t="shared" si="8"/>
        <v>2028</v>
      </c>
      <c r="O68" s="18">
        <f>'SEI Scenario LIT'!BQ11</f>
        <v>18.099631497786177</v>
      </c>
      <c r="P68" s="18">
        <f>'SEI Scenario LIT'!BV11</f>
        <v>566.05118445039159</v>
      </c>
      <c r="Q68" s="18">
        <f>'SEI Scenario LIT'!CA11</f>
        <v>0</v>
      </c>
      <c r="R68" s="18">
        <f>'SEI Scenario LIT'!CF11</f>
        <v>254.28241789720894</v>
      </c>
      <c r="S68" s="18">
        <f>'SEI Scenario LIT'!CK11</f>
        <v>57.271723664617788</v>
      </c>
      <c r="T68" s="18">
        <f>'SEI Scenario LIT'!CP11</f>
        <v>236.52303977205241</v>
      </c>
      <c r="U68" s="18">
        <f>'SEI Scenario LIT'!CU11</f>
        <v>37.548492667475557</v>
      </c>
      <c r="V68" s="18">
        <f>'SEI Scenario LIT'!CZ11</f>
        <v>748.73755198912693</v>
      </c>
      <c r="W68" s="18">
        <f>'SEI Scenario LIT'!DE11</f>
        <v>198.60899228894093</v>
      </c>
      <c r="X68" s="18">
        <f>'SEI Scenario LIT'!DJ11</f>
        <v>350.76946836708072</v>
      </c>
      <c r="Y68" s="18">
        <f>'SEI Scenario LIT'!DO11</f>
        <v>125.99798409058913</v>
      </c>
      <c r="Z68" s="18">
        <f>'SEI Scenario LIT'!DT11</f>
        <v>160.22046666033009</v>
      </c>
      <c r="AA68" s="18">
        <f>'SEI Scenario LIT'!DY11</f>
        <v>512.78329959248163</v>
      </c>
    </row>
    <row r="69" spans="1:27" x14ac:dyDescent="0.35">
      <c r="A69" s="47">
        <f t="shared" si="6"/>
        <v>2029</v>
      </c>
      <c r="B69" s="18">
        <f>'SEI Scenario LIT'!P12</f>
        <v>20.406581523906066</v>
      </c>
      <c r="C69" s="18">
        <f>'SEI Scenario LIT'!U12</f>
        <v>552.19013502688426</v>
      </c>
      <c r="D69" s="18">
        <f>'SEI Scenario LIT'!Z12</f>
        <v>0</v>
      </c>
      <c r="E69" s="18">
        <f>'SEI Scenario LIT'!AE12</f>
        <v>0</v>
      </c>
      <c r="G69" s="47">
        <f t="shared" si="7"/>
        <v>2029</v>
      </c>
      <c r="H69" s="18">
        <f>'SEI Scenario LIT'!AN12</f>
        <v>773.35540362221991</v>
      </c>
      <c r="I69" s="18">
        <f>'SEI Scenario LIT'!AS12</f>
        <v>34.042000011279455</v>
      </c>
      <c r="J69" s="18">
        <f>'SEI Scenario LIT'!AX12</f>
        <v>598.21171488989955</v>
      </c>
      <c r="K69" s="18">
        <f>'SEI Scenario LIT'!BC12</f>
        <v>460.96588982992796</v>
      </c>
      <c r="L69" s="18">
        <f>'SEI Scenario LIT'!BH12</f>
        <v>4645.1291322294192</v>
      </c>
      <c r="N69" s="47">
        <f t="shared" si="8"/>
        <v>2029</v>
      </c>
      <c r="O69" s="18">
        <f>'SEI Scenario LIT'!BQ12</f>
        <v>18.054193250192331</v>
      </c>
      <c r="P69" s="18">
        <f>'SEI Scenario LIT'!BV12</f>
        <v>576.1893012611132</v>
      </c>
      <c r="Q69" s="18">
        <f>'SEI Scenario LIT'!CA12</f>
        <v>0</v>
      </c>
      <c r="R69" s="18">
        <f>'SEI Scenario LIT'!CF12</f>
        <v>256.9669380118213</v>
      </c>
      <c r="S69" s="18">
        <f>'SEI Scenario LIT'!CK12</f>
        <v>57.158064060480015</v>
      </c>
      <c r="T69" s="18">
        <f>'SEI Scenario LIT'!CP12</f>
        <v>236.54226491203923</v>
      </c>
      <c r="U69" s="18">
        <f>'SEI Scenario LIT'!CU12</f>
        <v>37.839923665754213</v>
      </c>
      <c r="V69" s="18">
        <f>'SEI Scenario LIT'!CZ12</f>
        <v>751.90441515869145</v>
      </c>
      <c r="W69" s="18">
        <f>'SEI Scenario LIT'!DE12</f>
        <v>199.61331904199815</v>
      </c>
      <c r="X69" s="18">
        <f>'SEI Scenario LIT'!DJ12</f>
        <v>350.2264812526891</v>
      </c>
      <c r="Y69" s="18">
        <f>'SEI Scenario LIT'!DO12</f>
        <v>126.01535531143321</v>
      </c>
      <c r="Z69" s="18">
        <f>'SEI Scenario LIT'!DT12</f>
        <v>160.42069338630756</v>
      </c>
      <c r="AA69" s="18">
        <f>'SEI Scenario LIT'!DY12</f>
        <v>511.51262699037051</v>
      </c>
    </row>
    <row r="70" spans="1:27" x14ac:dyDescent="0.35">
      <c r="A70" s="47">
        <f t="shared" si="6"/>
        <v>2030</v>
      </c>
      <c r="B70" s="18">
        <f>'SEI Scenario LIT'!P13</f>
        <v>21.604366398959165</v>
      </c>
      <c r="C70" s="18">
        <f>'SEI Scenario LIT'!U13</f>
        <v>699.77678018622146</v>
      </c>
      <c r="D70" s="18">
        <f>'SEI Scenario LIT'!Z13</f>
        <v>0</v>
      </c>
      <c r="E70" s="18">
        <f>'SEI Scenario LIT'!AE13</f>
        <v>0</v>
      </c>
      <c r="G70" s="47">
        <f t="shared" si="7"/>
        <v>2030</v>
      </c>
      <c r="H70" s="18">
        <f>'SEI Scenario LIT'!AN13</f>
        <v>860.03663583284185</v>
      </c>
      <c r="I70" s="18">
        <f>'SEI Scenario LIT'!AS13</f>
        <v>34.081508338479324</v>
      </c>
      <c r="J70" s="18">
        <f>'SEI Scenario LIT'!AX13</f>
        <v>609.9526973015179</v>
      </c>
      <c r="K70" s="18">
        <f>'SEI Scenario LIT'!BC13</f>
        <v>482.04855933336466</v>
      </c>
      <c r="L70" s="18">
        <f>'SEI Scenario LIT'!BH13</f>
        <v>4650.5201574800203</v>
      </c>
      <c r="N70" s="47">
        <f t="shared" si="8"/>
        <v>2030</v>
      </c>
      <c r="O70" s="18">
        <f>'SEI Scenario LIT'!BQ13</f>
        <v>18.002794651315938</v>
      </c>
      <c r="P70" s="18">
        <f>'SEI Scenario LIT'!BV13</f>
        <v>589.59932766226507</v>
      </c>
      <c r="Q70" s="18">
        <f>'SEI Scenario LIT'!CA13</f>
        <v>0</v>
      </c>
      <c r="R70" s="18">
        <f>'SEI Scenario LIT'!CF13</f>
        <v>260.56187422104813</v>
      </c>
      <c r="S70" s="18">
        <f>'SEI Scenario LIT'!CK13</f>
        <v>57.03455533122294</v>
      </c>
      <c r="T70" s="18">
        <f>'SEI Scenario LIT'!CP13</f>
        <v>236.66700230151022</v>
      </c>
      <c r="U70" s="18">
        <f>'SEI Scenario LIT'!CU13</f>
        <v>38.234383280675701</v>
      </c>
      <c r="V70" s="18">
        <f>'SEI Scenario LIT'!CZ13</f>
        <v>756.33455437339694</v>
      </c>
      <c r="W70" s="18">
        <f>'SEI Scenario LIT'!DE13</f>
        <v>201.00189323601555</v>
      </c>
      <c r="X70" s="18">
        <f>'SEI Scenario LIT'!DJ13</f>
        <v>349.66898825734023</v>
      </c>
      <c r="Y70" s="18">
        <f>'SEI Scenario LIT'!DO13</f>
        <v>126.09106699673004</v>
      </c>
      <c r="Z70" s="18">
        <f>'SEI Scenario LIT'!DT13</f>
        <v>160.74840231461178</v>
      </c>
      <c r="AA70" s="18">
        <f>'SEI Scenario LIT'!DY13</f>
        <v>510.07807072778394</v>
      </c>
    </row>
    <row r="71" spans="1:27" x14ac:dyDescent="0.35">
      <c r="A71" s="47">
        <f t="shared" si="6"/>
        <v>2031</v>
      </c>
      <c r="B71" s="18">
        <f>'SEI Scenario LIT'!P14</f>
        <v>23.146970733230045</v>
      </c>
      <c r="C71" s="18">
        <f>'SEI Scenario LIT'!U14</f>
        <v>889.92805626328618</v>
      </c>
      <c r="D71" s="18">
        <f>'SEI Scenario LIT'!Z14</f>
        <v>0</v>
      </c>
      <c r="E71" s="18">
        <f>'SEI Scenario LIT'!AE14</f>
        <v>0</v>
      </c>
      <c r="G71" s="47">
        <f t="shared" si="7"/>
        <v>2031</v>
      </c>
      <c r="H71" s="18">
        <f>'SEI Scenario LIT'!AN14</f>
        <v>971.63918030670516</v>
      </c>
      <c r="I71" s="18">
        <f>'SEI Scenario LIT'!AS14</f>
        <v>34.109180501794313</v>
      </c>
      <c r="J71" s="18">
        <f>'SEI Scenario LIT'!AX14</f>
        <v>624.72952966519836</v>
      </c>
      <c r="K71" s="18">
        <f>'SEI Scenario LIT'!BC14</f>
        <v>509.00473854915634</v>
      </c>
      <c r="L71" s="18">
        <f>'SEI Scenario LIT'!BH14</f>
        <v>4654.296104014411</v>
      </c>
      <c r="N71" s="47">
        <f t="shared" si="8"/>
        <v>2031</v>
      </c>
      <c r="O71" s="18">
        <f>'SEI Scenario LIT'!BQ14</f>
        <v>17.9452910934782</v>
      </c>
      <c r="P71" s="18">
        <f>'SEI Scenario LIT'!BV14</f>
        <v>607.0958523430487</v>
      </c>
      <c r="Q71" s="18">
        <f>'SEI Scenario LIT'!CA14</f>
        <v>0</v>
      </c>
      <c r="R71" s="18">
        <f>'SEI Scenario LIT'!CF14</f>
        <v>265.30066281922592</v>
      </c>
      <c r="S71" s="18">
        <f>'SEI Scenario LIT'!CK14</f>
        <v>56.902874159414125</v>
      </c>
      <c r="T71" s="18">
        <f>'SEI Scenario LIT'!CP14</f>
        <v>236.93880128852027</v>
      </c>
      <c r="U71" s="18">
        <f>'SEI Scenario LIT'!CU14</f>
        <v>38.758902810287239</v>
      </c>
      <c r="V71" s="18">
        <f>'SEI Scenario LIT'!CZ14</f>
        <v>762.37959753682276</v>
      </c>
      <c r="W71" s="18">
        <f>'SEI Scenario LIT'!DE14</f>
        <v>202.87962911804763</v>
      </c>
      <c r="X71" s="18">
        <f>'SEI Scenario LIT'!DJ14</f>
        <v>349.11811026605221</v>
      </c>
      <c r="Y71" s="18">
        <f>'SEI Scenario LIT'!DO14</f>
        <v>126.24775810023998</v>
      </c>
      <c r="Z71" s="18">
        <f>'SEI Scenario LIT'!DT14</f>
        <v>161.24500465125323</v>
      </c>
      <c r="AA71" s="18">
        <f>'SEI Scenario LIT'!DY14</f>
        <v>508.47671341121111</v>
      </c>
    </row>
    <row r="72" spans="1:27" x14ac:dyDescent="0.35">
      <c r="A72" s="47">
        <f t="shared" si="6"/>
        <v>2032</v>
      </c>
      <c r="B72" s="18">
        <f>'SEI Scenario LIT'!P15</f>
        <v>25.106505384828363</v>
      </c>
      <c r="C72" s="18">
        <f>'SEI Scenario LIT'!U15</f>
        <v>1131.429545960053</v>
      </c>
      <c r="D72" s="18">
        <f>'SEI Scenario LIT'!Z15</f>
        <v>0</v>
      </c>
      <c r="E72" s="18">
        <f>'SEI Scenario LIT'!AE15</f>
        <v>0</v>
      </c>
      <c r="G72" s="47">
        <f t="shared" si="7"/>
        <v>2032</v>
      </c>
      <c r="H72" s="18">
        <f>'SEI Scenario LIT'!AN15</f>
        <v>1113.4315867905448</v>
      </c>
      <c r="I72" s="18">
        <f>'SEI Scenario LIT'!AS15</f>
        <v>34.124514136299645</v>
      </c>
      <c r="J72" s="18">
        <f>'SEI Scenario LIT'!AX15</f>
        <v>643.21330608433891</v>
      </c>
      <c r="K72" s="18">
        <f>'SEI Scenario LIT'!BC15</f>
        <v>543.09232906221507</v>
      </c>
      <c r="L72" s="18">
        <f>'SEI Scenario LIT'!BH15</f>
        <v>4656.3884226889913</v>
      </c>
      <c r="N72" s="47">
        <f t="shared" si="8"/>
        <v>2032</v>
      </c>
      <c r="O72" s="18">
        <f>'SEI Scenario LIT'!BQ15</f>
        <v>17.881493957967649</v>
      </c>
      <c r="P72" s="18">
        <f>'SEI Scenario LIT'!BV15</f>
        <v>629.53966543706747</v>
      </c>
      <c r="Q72" s="18">
        <f>'SEI Scenario LIT'!CA15</f>
        <v>0</v>
      </c>
      <c r="R72" s="18">
        <f>'SEI Scenario LIT'!CF15</f>
        <v>271.42979887756945</v>
      </c>
      <c r="S72" s="18">
        <f>'SEI Scenario LIT'!CK15</f>
        <v>56.764681933551302</v>
      </c>
      <c r="T72" s="18">
        <f>'SEI Scenario LIT'!CP15</f>
        <v>237.4011592381508</v>
      </c>
      <c r="U72" s="18">
        <f>'SEI Scenario LIT'!CU15</f>
        <v>39.442009780633832</v>
      </c>
      <c r="V72" s="18">
        <f>'SEI Scenario LIT'!CZ15</f>
        <v>770.41012360303182</v>
      </c>
      <c r="W72" s="18">
        <f>'SEI Scenario LIT'!DE15</f>
        <v>205.35714408233389</v>
      </c>
      <c r="X72" s="18">
        <f>'SEI Scenario LIT'!DJ15</f>
        <v>348.59550481599734</v>
      </c>
      <c r="Y72" s="18">
        <f>'SEI Scenario LIT'!DO15</f>
        <v>126.50913464871518</v>
      </c>
      <c r="Z72" s="18">
        <f>'SEI Scenario LIT'!DT15</f>
        <v>161.95400172278519</v>
      </c>
      <c r="AA72" s="18">
        <f>'SEI Scenario LIT'!DY15</f>
        <v>506.70445927554613</v>
      </c>
    </row>
    <row r="73" spans="1:27" x14ac:dyDescent="0.35">
      <c r="A73" s="47">
        <f t="shared" si="6"/>
        <v>2033</v>
      </c>
      <c r="B73" s="18">
        <f>'SEI Scenario LIT'!P16</f>
        <v>27.563086117640136</v>
      </c>
      <c r="C73" s="18">
        <f>'SEI Scenario LIT'!U16</f>
        <v>1433.2250568814452</v>
      </c>
      <c r="D73" s="18">
        <f>'SEI Scenario LIT'!Z16</f>
        <v>0</v>
      </c>
      <c r="E73" s="18">
        <f>'SEI Scenario LIT'!AE16</f>
        <v>0</v>
      </c>
      <c r="G73" s="47">
        <f t="shared" si="7"/>
        <v>2033</v>
      </c>
      <c r="H73" s="18">
        <f>'SEI Scenario LIT'!AN16</f>
        <v>1291.0145333701153</v>
      </c>
      <c r="I73" s="18">
        <f>'SEI Scenario LIT'!AS16</f>
        <v>34.141516223085517</v>
      </c>
      <c r="J73" s="18">
        <f>'SEI Scenario LIT'!AX16</f>
        <v>666.33041301158551</v>
      </c>
      <c r="K73" s="18">
        <f>'SEI Scenario LIT'!BC16</f>
        <v>585.76630598378836</v>
      </c>
      <c r="L73" s="18">
        <f>'SEI Scenario LIT'!BH16</f>
        <v>4658.7084064916926</v>
      </c>
      <c r="N73" s="47">
        <f t="shared" si="8"/>
        <v>2033</v>
      </c>
      <c r="O73" s="18">
        <f>'SEI Scenario LIT'!BQ16</f>
        <v>17.818790810983643</v>
      </c>
      <c r="P73" s="18">
        <f>'SEI Scenario LIT'!BV16</f>
        <v>658.01948749436986</v>
      </c>
      <c r="Q73" s="18">
        <f>'SEI Scenario LIT'!CA16</f>
        <v>0</v>
      </c>
      <c r="R73" s="18">
        <f>'SEI Scenario LIT'!CF16</f>
        <v>279.29962590676274</v>
      </c>
      <c r="S73" s="18">
        <f>'SEI Scenario LIT'!CK16</f>
        <v>56.645589497923368</v>
      </c>
      <c r="T73" s="18">
        <f>'SEI Scenario LIT'!CP16</f>
        <v>238.19610012505365</v>
      </c>
      <c r="U73" s="18">
        <f>'SEI Scenario LIT'!CU16</f>
        <v>40.327648261950692</v>
      </c>
      <c r="V73" s="18">
        <f>'SEI Scenario LIT'!CZ16</f>
        <v>781.10618680277889</v>
      </c>
      <c r="W73" s="18">
        <f>'SEI Scenario LIT'!DE16</f>
        <v>208.62701842948604</v>
      </c>
      <c r="X73" s="18">
        <f>'SEI Scenario LIT'!DJ16</f>
        <v>348.26939221710194</v>
      </c>
      <c r="Y73" s="18">
        <f>'SEI Scenario LIT'!DO16</f>
        <v>126.95138313735048</v>
      </c>
      <c r="Z73" s="18">
        <f>'SEI Scenario LIT'!DT16</f>
        <v>162.98549078466996</v>
      </c>
      <c r="AA73" s="18">
        <f>'SEI Scenario LIT'!DY16</f>
        <v>504.97184158308096</v>
      </c>
    </row>
    <row r="74" spans="1:27" x14ac:dyDescent="0.35">
      <c r="A74" s="47">
        <f t="shared" si="6"/>
        <v>2034</v>
      </c>
      <c r="B74" s="18">
        <f>'SEI Scenario LIT'!P17</f>
        <v>30.572914991593084</v>
      </c>
      <c r="C74" s="18">
        <f>'SEI Scenario LIT'!U17</f>
        <v>1802.1367175827399</v>
      </c>
      <c r="D74" s="18">
        <f>'SEI Scenario LIT'!Z17</f>
        <v>0</v>
      </c>
      <c r="E74" s="18">
        <f>'SEI Scenario LIT'!AE17</f>
        <v>0</v>
      </c>
      <c r="G74" s="47">
        <f t="shared" si="7"/>
        <v>2034</v>
      </c>
      <c r="H74" s="18">
        <f>'SEI Scenario LIT'!AN17</f>
        <v>1508.6115032568123</v>
      </c>
      <c r="I74" s="18">
        <f>'SEI Scenario LIT'!AS17</f>
        <v>34.160317205455037</v>
      </c>
      <c r="J74" s="18">
        <f>'SEI Scenario LIT'!AX17</f>
        <v>694.62663605459966</v>
      </c>
      <c r="K74" s="18">
        <f>'SEI Scenario LIT'!BC17</f>
        <v>638.0393726054042</v>
      </c>
      <c r="L74" s="18">
        <f>'SEI Scenario LIT'!BH17</f>
        <v>4661.2738547876288</v>
      </c>
      <c r="N74" s="47">
        <f t="shared" si="8"/>
        <v>2034</v>
      </c>
      <c r="O74" s="18">
        <f>'SEI Scenario LIT'!BQ17</f>
        <v>17.757238238139614</v>
      </c>
      <c r="P74" s="18">
        <f>'SEI Scenario LIT'!BV17</f>
        <v>693.19256854474804</v>
      </c>
      <c r="Q74" s="18">
        <f>'SEI Scenario LIT'!CA17</f>
        <v>0</v>
      </c>
      <c r="R74" s="18">
        <f>'SEI Scenario LIT'!CF17</f>
        <v>289.09936822184432</v>
      </c>
      <c r="S74" s="18">
        <f>'SEI Scenario LIT'!CK17</f>
        <v>56.547483807913387</v>
      </c>
      <c r="T74" s="18">
        <f>'SEI Scenario LIT'!CP17</f>
        <v>239.35912479833533</v>
      </c>
      <c r="U74" s="18">
        <f>'SEI Scenario LIT'!CU17</f>
        <v>41.437807065231027</v>
      </c>
      <c r="V74" s="18">
        <f>'SEI Scenario LIT'!CZ17</f>
        <v>794.75629949148833</v>
      </c>
      <c r="W74" s="18">
        <f>'SEI Scenario LIT'!DE17</f>
        <v>212.77509880013326</v>
      </c>
      <c r="X74" s="18">
        <f>'SEI Scenario LIT'!DJ17</f>
        <v>348.16001338149977</v>
      </c>
      <c r="Y74" s="18">
        <f>'SEI Scenario LIT'!DO17</f>
        <v>127.59381950003537</v>
      </c>
      <c r="Z74" s="18">
        <f>'SEI Scenario LIT'!DT17</f>
        <v>164.374135752001</v>
      </c>
      <c r="AA74" s="18">
        <f>'SEI Scenario LIT'!DY17</f>
        <v>503.28140735090557</v>
      </c>
    </row>
    <row r="75" spans="1:27" x14ac:dyDescent="0.35">
      <c r="A75" s="47">
        <f t="shared" si="6"/>
        <v>2035</v>
      </c>
      <c r="B75" s="18">
        <f>'SEI Scenario LIT'!P18</f>
        <v>34.160615676832805</v>
      </c>
      <c r="C75" s="18">
        <f>'SEI Scenario LIT'!U18</f>
        <v>2241.1273090604504</v>
      </c>
      <c r="D75" s="18">
        <f>'SEI Scenario LIT'!Z18</f>
        <v>0</v>
      </c>
      <c r="E75" s="18">
        <f>'SEI Scenario LIT'!AE18</f>
        <v>0</v>
      </c>
      <c r="G75" s="47">
        <f t="shared" si="7"/>
        <v>2035</v>
      </c>
      <c r="H75" s="18">
        <f>'SEI Scenario LIT'!AN18</f>
        <v>1768.2285880208633</v>
      </c>
      <c r="I75" s="18">
        <f>'SEI Scenario LIT'!AS18</f>
        <v>34.181450199965262</v>
      </c>
      <c r="J75" s="18">
        <f>'SEI Scenario LIT'!AX18</f>
        <v>728.36811643637316</v>
      </c>
      <c r="K75" s="18">
        <f>'SEI Scenario LIT'!BC18</f>
        <v>700.39636406177908</v>
      </c>
      <c r="L75" s="18">
        <f>'SEI Scenario LIT'!BH18</f>
        <v>4664.1575128693557</v>
      </c>
      <c r="N75" s="47">
        <f t="shared" si="8"/>
        <v>2035</v>
      </c>
      <c r="O75" s="18">
        <f>'SEI Scenario LIT'!BQ18</f>
        <v>17.69710030563164</v>
      </c>
      <c r="P75" s="18">
        <f>'SEI Scenario LIT'!BV18</f>
        <v>735.32882157297684</v>
      </c>
      <c r="Q75" s="18">
        <f>'SEI Scenario LIT'!CA18</f>
        <v>0</v>
      </c>
      <c r="R75" s="18">
        <f>'SEI Scenario LIT'!CF18</f>
        <v>300.9079528889585</v>
      </c>
      <c r="S75" s="18">
        <f>'SEI Scenario LIT'!CK18</f>
        <v>56.471882195458768</v>
      </c>
      <c r="T75" s="18">
        <f>'SEI Scenario LIT'!CP18</f>
        <v>240.90756008037039</v>
      </c>
      <c r="U75" s="18">
        <f>'SEI Scenario LIT'!CU18</f>
        <v>42.781764637643306</v>
      </c>
      <c r="V75" s="18">
        <f>'SEI Scenario LIT'!CZ18</f>
        <v>811.48561934835186</v>
      </c>
      <c r="W75" s="18">
        <f>'SEI Scenario LIT'!DE18</f>
        <v>217.83830320575572</v>
      </c>
      <c r="X75" s="18">
        <f>'SEI Scenario LIT'!DJ18</f>
        <v>348.28012790487992</v>
      </c>
      <c r="Y75" s="18">
        <f>'SEI Scenario LIT'!DO18</f>
        <v>128.4458352846334</v>
      </c>
      <c r="Z75" s="18">
        <f>'SEI Scenario LIT'!DT18</f>
        <v>166.13591136023828</v>
      </c>
      <c r="AA75" s="18">
        <f>'SEI Scenario LIT'!DY18</f>
        <v>501.64101465550453</v>
      </c>
    </row>
    <row r="76" spans="1:27" x14ac:dyDescent="0.35">
      <c r="A76" s="47">
        <f t="shared" si="6"/>
        <v>2036</v>
      </c>
      <c r="B76" s="18">
        <f>'SEI Scenario LIT'!P19</f>
        <v>38.300506415693008</v>
      </c>
      <c r="C76" s="18">
        <f>'SEI Scenario LIT'!U19</f>
        <v>2747.0606660382223</v>
      </c>
      <c r="D76" s="18">
        <f>'SEI Scenario LIT'!Z19</f>
        <v>0</v>
      </c>
      <c r="E76" s="18">
        <f>'SEI Scenario LIT'!AE19</f>
        <v>0</v>
      </c>
      <c r="G76" s="47">
        <f t="shared" si="7"/>
        <v>2036</v>
      </c>
      <c r="H76" s="18">
        <f>'SEI Scenario LIT'!AN19</f>
        <v>2068.3070053422653</v>
      </c>
      <c r="I76" s="18">
        <f>'SEI Scenario LIT'!AS19</f>
        <v>34.205212863997438</v>
      </c>
      <c r="J76" s="18">
        <f>'SEI Scenario LIT'!AX19</f>
        <v>767.35848335068795</v>
      </c>
      <c r="K76" s="18">
        <f>'SEI Scenario LIT'!BC19</f>
        <v>772.46631765474467</v>
      </c>
      <c r="L76" s="18">
        <f>'SEI Scenario LIT'!BH19</f>
        <v>4667.399996945458</v>
      </c>
      <c r="N76" s="47">
        <f t="shared" si="8"/>
        <v>2036</v>
      </c>
      <c r="O76" s="18">
        <f>'SEI Scenario LIT'!BQ19</f>
        <v>17.638515333848126</v>
      </c>
      <c r="P76" s="18">
        <f>'SEI Scenario LIT'!BV19</f>
        <v>784.07965792240759</v>
      </c>
      <c r="Q76" s="18">
        <f>'SEI Scenario LIT'!CA19</f>
        <v>0</v>
      </c>
      <c r="R76" s="18">
        <f>'SEI Scenario LIT'!CF19</f>
        <v>314.62587170153921</v>
      </c>
      <c r="S76" s="18">
        <f>'SEI Scenario LIT'!CK19</f>
        <v>56.41830279468526</v>
      </c>
      <c r="T76" s="18">
        <f>'SEI Scenario LIT'!CP19</f>
        <v>242.8244977769113</v>
      </c>
      <c r="U76" s="18">
        <f>'SEI Scenario LIT'!CU19</f>
        <v>44.348032227892624</v>
      </c>
      <c r="V76" s="18">
        <f>'SEI Scenario LIT'!CZ19</f>
        <v>831.14579189205983</v>
      </c>
      <c r="W76" s="18">
        <f>'SEI Scenario LIT'!DE19</f>
        <v>223.77226341546873</v>
      </c>
      <c r="X76" s="18">
        <f>'SEI Scenario LIT'!DJ19</f>
        <v>348.62210902793151</v>
      </c>
      <c r="Y76" s="18">
        <f>'SEI Scenario LIT'!DO19</f>
        <v>129.49820566018215</v>
      </c>
      <c r="Z76" s="18">
        <f>'SEI Scenario LIT'!DT19</f>
        <v>168.25364847287159</v>
      </c>
      <c r="AA76" s="18">
        <f>'SEI Scenario LIT'!DY19</f>
        <v>500.05407408040344</v>
      </c>
    </row>
    <row r="77" spans="1:27" x14ac:dyDescent="0.35">
      <c r="A77" s="47">
        <f t="shared" si="6"/>
        <v>2037</v>
      </c>
      <c r="B77" s="18">
        <f>'SEI Scenario LIT'!P20</f>
        <v>42.903092186113803</v>
      </c>
      <c r="C77" s="18">
        <f>'SEI Scenario LIT'!U20</f>
        <v>3309.0489613179211</v>
      </c>
      <c r="D77" s="18">
        <f>'SEI Scenario LIT'!Z20</f>
        <v>0</v>
      </c>
      <c r="E77" s="18">
        <f>'SEI Scenario LIT'!AE20</f>
        <v>0</v>
      </c>
      <c r="G77" s="47">
        <f t="shared" si="7"/>
        <v>2037</v>
      </c>
      <c r="H77" s="18">
        <f>'SEI Scenario LIT'!AN20</f>
        <v>2402.7142249661615</v>
      </c>
      <c r="I77" s="18">
        <f>'SEI Scenario LIT'!AS20</f>
        <v>34.231870685371845</v>
      </c>
      <c r="J77" s="18">
        <f>'SEI Scenario LIT'!AX20</f>
        <v>810.81191482842144</v>
      </c>
      <c r="K77" s="18">
        <f>'SEI Scenario LIT'!BC20</f>
        <v>852.78246480450559</v>
      </c>
      <c r="L77" s="18">
        <f>'SEI Scenario LIT'!BH20</f>
        <v>4671.0375335950966</v>
      </c>
      <c r="N77" s="47">
        <f t="shared" si="8"/>
        <v>2037</v>
      </c>
      <c r="O77" s="18">
        <f>'SEI Scenario LIT'!BQ20</f>
        <v>17.581602781306334</v>
      </c>
      <c r="P77" s="18">
        <f>'SEI Scenario LIT'!BV20</f>
        <v>838.32076067101229</v>
      </c>
      <c r="Q77" s="18">
        <f>'SEI Scenario LIT'!CA20</f>
        <v>0</v>
      </c>
      <c r="R77" s="18">
        <f>'SEI Scenario LIT'!CF20</f>
        <v>329.93052432244707</v>
      </c>
      <c r="S77" s="18">
        <f>'SEI Scenario LIT'!CK20</f>
        <v>56.384184373458041</v>
      </c>
      <c r="T77" s="18">
        <f>'SEI Scenario LIT'!CP20</f>
        <v>245.05167611524197</v>
      </c>
      <c r="U77" s="18">
        <f>'SEI Scenario LIT'!CU20</f>
        <v>46.099217902761374</v>
      </c>
      <c r="V77" s="18">
        <f>'SEI Scenario LIT'!CZ20</f>
        <v>853.24927017639925</v>
      </c>
      <c r="W77" s="18">
        <f>'SEI Scenario LIT'!DE20</f>
        <v>230.43162053884438</v>
      </c>
      <c r="X77" s="18">
        <f>'SEI Scenario LIT'!DJ20</f>
        <v>349.15532537060568</v>
      </c>
      <c r="Y77" s="18">
        <f>'SEI Scenario LIT'!DO20</f>
        <v>130.7191982530959</v>
      </c>
      <c r="Z77" s="18">
        <f>'SEI Scenario LIT'!DT20</f>
        <v>170.66961151251056</v>
      </c>
      <c r="AA77" s="18">
        <f>'SEI Scenario LIT'!DY20</f>
        <v>498.52234564314728</v>
      </c>
    </row>
    <row r="78" spans="1:27" x14ac:dyDescent="0.35">
      <c r="A78" s="47">
        <f t="shared" si="6"/>
        <v>2038</v>
      </c>
      <c r="B78" s="18">
        <f>'SEI Scenario LIT'!P21</f>
        <v>47.813065790470191</v>
      </c>
      <c r="C78" s="18">
        <f>'SEI Scenario LIT'!U21</f>
        <v>3908.2289444380508</v>
      </c>
      <c r="D78" s="18">
        <f>'SEI Scenario LIT'!Z21</f>
        <v>0</v>
      </c>
      <c r="E78" s="18">
        <f>'SEI Scenario LIT'!AE21</f>
        <v>0</v>
      </c>
      <c r="G78" s="47">
        <f t="shared" si="7"/>
        <v>2038</v>
      </c>
      <c r="H78" s="18">
        <f>'SEI Scenario LIT'!AN21</f>
        <v>2760.5566576328597</v>
      </c>
      <c r="I78" s="18">
        <f>'SEI Scenario LIT'!AS21</f>
        <v>34.261312148993547</v>
      </c>
      <c r="J78" s="18">
        <f>'SEI Scenario LIT'!AX21</f>
        <v>857.32396605576093</v>
      </c>
      <c r="K78" s="18">
        <f>'SEI Scenario LIT'!BC21</f>
        <v>938.73457161964382</v>
      </c>
      <c r="L78" s="18">
        <f>'SEI Scenario LIT'!BH21</f>
        <v>4675.0549062617829</v>
      </c>
      <c r="N78" s="47">
        <f t="shared" si="8"/>
        <v>2038</v>
      </c>
      <c r="O78" s="18">
        <f>'SEI Scenario LIT'!BQ21</f>
        <v>17.526287200521683</v>
      </c>
      <c r="P78" s="18">
        <f>'SEI Scenario LIT'!BV21</f>
        <v>896.1315376932788</v>
      </c>
      <c r="Q78" s="18">
        <f>'SEI Scenario LIT'!CA21</f>
        <v>0</v>
      </c>
      <c r="R78" s="18">
        <f>'SEI Scenario LIT'!CF21</f>
        <v>346.2694211468604</v>
      </c>
      <c r="S78" s="18">
        <f>'SEI Scenario LIT'!CK21</f>
        <v>56.364290094816539</v>
      </c>
      <c r="T78" s="18">
        <f>'SEI Scenario LIT'!CP21</f>
        <v>247.48638155865191</v>
      </c>
      <c r="U78" s="18">
        <f>'SEI Scenario LIT'!CU21</f>
        <v>47.971159452400329</v>
      </c>
      <c r="V78" s="18">
        <f>'SEI Scenario LIT'!CZ21</f>
        <v>876.9554654986681</v>
      </c>
      <c r="W78" s="18">
        <f>'SEI Scenario LIT'!DE21</f>
        <v>237.56613760294459</v>
      </c>
      <c r="X78" s="18">
        <f>'SEI Scenario LIT'!DJ21</f>
        <v>349.82228990659991</v>
      </c>
      <c r="Y78" s="18">
        <f>'SEI Scenario LIT'!DO21</f>
        <v>132.0529134377974</v>
      </c>
      <c r="Z78" s="18">
        <f>'SEI Scenario LIT'!DT21</f>
        <v>173.28315615534032</v>
      </c>
      <c r="AA78" s="18">
        <f>'SEI Scenario LIT'!DY21</f>
        <v>497.0409296041135</v>
      </c>
    </row>
    <row r="79" spans="1:27" x14ac:dyDescent="0.35">
      <c r="A79" s="47">
        <f t="shared" si="6"/>
        <v>2039</v>
      </c>
      <c r="B79" s="18">
        <f>'SEI Scenario LIT'!P22</f>
        <v>52.826591917722737</v>
      </c>
      <c r="C79" s="18">
        <f>'SEI Scenario LIT'!U22</f>
        <v>4519.8014093283864</v>
      </c>
      <c r="D79" s="18">
        <f>'SEI Scenario LIT'!Z22</f>
        <v>0</v>
      </c>
      <c r="E79" s="18">
        <f>'SEI Scenario LIT'!AE22</f>
        <v>0</v>
      </c>
      <c r="G79" s="47">
        <f t="shared" si="7"/>
        <v>2039</v>
      </c>
      <c r="H79" s="18">
        <f>'SEI Scenario LIT'!AN22</f>
        <v>3127.3461684338913</v>
      </c>
      <c r="I79" s="18">
        <f>'SEI Scenario LIT'!AS22</f>
        <v>34.294139390894813</v>
      </c>
      <c r="J79" s="18">
        <f>'SEI Scenario LIT'!AX22</f>
        <v>905.03776114755317</v>
      </c>
      <c r="K79" s="18">
        <f>'SEI Scenario LIT'!BC22</f>
        <v>1026.8571864939024</v>
      </c>
      <c r="L79" s="18">
        <f>'SEI Scenario LIT'!BH22</f>
        <v>4679.5342781446261</v>
      </c>
      <c r="N79" s="47">
        <f t="shared" si="8"/>
        <v>2039</v>
      </c>
      <c r="O79" s="18">
        <f>'SEI Scenario LIT'!BQ22</f>
        <v>17.472857806851763</v>
      </c>
      <c r="P79" s="18">
        <f>'SEI Scenario LIT'!BV22</f>
        <v>955.02217962461532</v>
      </c>
      <c r="Q79" s="18">
        <f>'SEI Scenario LIT'!CA22</f>
        <v>0</v>
      </c>
      <c r="R79" s="18">
        <f>'SEI Scenario LIT'!CF22</f>
        <v>362.92828580689581</v>
      </c>
      <c r="S79" s="18">
        <f>'SEI Scenario LIT'!CK22</f>
        <v>56.353024150830436</v>
      </c>
      <c r="T79" s="18">
        <f>'SEI Scenario LIT'!CP22</f>
        <v>249.99987442410279</v>
      </c>
      <c r="U79" s="18">
        <f>'SEI Scenario LIT'!CU22</f>
        <v>49.881077562189446</v>
      </c>
      <c r="V79" s="18">
        <f>'SEI Scenario LIT'!CZ22</f>
        <v>901.18538480408108</v>
      </c>
      <c r="W79" s="18">
        <f>'SEI Scenario LIT'!DE22</f>
        <v>244.85408652652555</v>
      </c>
      <c r="X79" s="18">
        <f>'SEI Scenario LIT'!DJ22</f>
        <v>350.55562481760455</v>
      </c>
      <c r="Y79" s="18">
        <f>'SEI Scenario LIT'!DO22</f>
        <v>133.42922908912112</v>
      </c>
      <c r="Z79" s="18">
        <f>'SEI Scenario LIT'!DT22</f>
        <v>175.9666046709313</v>
      </c>
      <c r="AA79" s="18">
        <f>'SEI Scenario LIT'!DY22</f>
        <v>495.61442145325816</v>
      </c>
    </row>
    <row r="80" spans="1:27" x14ac:dyDescent="0.35">
      <c r="A80" s="47">
        <f t="shared" si="6"/>
        <v>2040</v>
      </c>
      <c r="B80" s="18">
        <f>'SEI Scenario LIT'!P23</f>
        <v>57.719840919542563</v>
      </c>
      <c r="C80" s="18">
        <f>'SEI Scenario LIT'!U23</f>
        <v>5116.6182914630781</v>
      </c>
      <c r="D80" s="18">
        <f>'SEI Scenario LIT'!Z23</f>
        <v>0</v>
      </c>
      <c r="E80" s="18">
        <f>'SEI Scenario LIT'!AE23</f>
        <v>0</v>
      </c>
      <c r="G80" s="47">
        <f t="shared" si="7"/>
        <v>2040</v>
      </c>
      <c r="H80" s="18">
        <f>'SEI Scenario LIT'!AN23</f>
        <v>3487.0549976708476</v>
      </c>
      <c r="I80" s="18">
        <f>'SEI Scenario LIT'!AS23</f>
        <v>34.329501968501525</v>
      </c>
      <c r="J80" s="18">
        <f>'SEI Scenario LIT'!AX23</f>
        <v>951.87688416120466</v>
      </c>
      <c r="K80" s="18">
        <f>'SEI Scenario LIT'!BC23</f>
        <v>1113.3043077856162</v>
      </c>
      <c r="L80" s="18">
        <f>'SEI Scenario LIT'!BH23</f>
        <v>4684.3596039003769</v>
      </c>
      <c r="N80" s="47">
        <f t="shared" si="8"/>
        <v>2040</v>
      </c>
      <c r="O80" s="18">
        <f>'SEI Scenario LIT'!BQ23</f>
        <v>17.420861915389036</v>
      </c>
      <c r="P80" s="18">
        <f>'SEI Scenario LIT'!BV23</f>
        <v>1012.2649211916051</v>
      </c>
      <c r="Q80" s="18">
        <f>'SEI Scenario LIT'!CA23</f>
        <v>0</v>
      </c>
      <c r="R80" s="18">
        <f>'SEI Scenario LIT'!CF23</f>
        <v>379.12068425995909</v>
      </c>
      <c r="S80" s="18">
        <f>'SEI Scenario LIT'!CK23</f>
        <v>56.341883620130773</v>
      </c>
      <c r="T80" s="18">
        <f>'SEI Scenario LIT'!CP23</f>
        <v>252.44233119662735</v>
      </c>
      <c r="U80" s="18">
        <f>'SEI Scenario LIT'!CU23</f>
        <v>51.737488126722042</v>
      </c>
      <c r="V80" s="18">
        <f>'SEI Scenario LIT'!CZ23</f>
        <v>924.73558668334385</v>
      </c>
      <c r="W80" s="18">
        <f>'SEI Scenario LIT'!DE23</f>
        <v>251.93767597058019</v>
      </c>
      <c r="X80" s="18">
        <f>'SEI Scenario LIT'!DJ23</f>
        <v>351.2673021145481</v>
      </c>
      <c r="Y80" s="18">
        <f>'SEI Scenario LIT'!DO23</f>
        <v>134.76665906972659</v>
      </c>
      <c r="Z80" s="18">
        <f>'SEI Scenario LIT'!DT23</f>
        <v>178.57451917203687</v>
      </c>
      <c r="AA80" s="18">
        <f>'SEI Scenario LIT'!DY23</f>
        <v>494.22608855400989</v>
      </c>
    </row>
    <row r="81" spans="1:27" x14ac:dyDescent="0.35">
      <c r="A81" s="47">
        <f t="shared" si="6"/>
        <v>2041</v>
      </c>
      <c r="B81" s="18">
        <f>'SEI Scenario LIT'!P24</f>
        <v>62.289404222972379</v>
      </c>
      <c r="C81" s="18">
        <f>'SEI Scenario LIT'!U24</f>
        <v>5673.9863832616547</v>
      </c>
      <c r="D81" s="18">
        <f>'SEI Scenario LIT'!Z24</f>
        <v>0</v>
      </c>
      <c r="E81" s="18">
        <f>'SEI Scenario LIT'!AE24</f>
        <v>0</v>
      </c>
      <c r="G81" s="47">
        <f t="shared" si="7"/>
        <v>2041</v>
      </c>
      <c r="H81" s="18">
        <f>'SEI Scenario LIT'!AN24</f>
        <v>3824.9751747495079</v>
      </c>
      <c r="I81" s="18">
        <f>'SEI Scenario LIT'!AS24</f>
        <v>34.367020579279867</v>
      </c>
      <c r="J81" s="18">
        <f>'SEI Scenario LIT'!AX24</f>
        <v>995.94177465194696</v>
      </c>
      <c r="K81" s="18">
        <f>'SEI Scenario LIT'!BC24</f>
        <v>1194.5498776545933</v>
      </c>
      <c r="L81" s="18">
        <f>'SEI Scenario LIT'!BH24</f>
        <v>4689.4791266037873</v>
      </c>
      <c r="N81" s="47">
        <f t="shared" si="8"/>
        <v>2041</v>
      </c>
      <c r="O81" s="18">
        <f>'SEI Scenario LIT'!BQ24</f>
        <v>17.370092045550887</v>
      </c>
      <c r="P81" s="18">
        <f>'SEI Scenario LIT'!BV24</f>
        <v>1065.40291389713</v>
      </c>
      <c r="Q81" s="18">
        <f>'SEI Scenario LIT'!CA24</f>
        <v>0</v>
      </c>
      <c r="R81" s="18">
        <f>'SEI Scenario LIT'!CF24</f>
        <v>394.13930267007794</v>
      </c>
      <c r="S81" s="18">
        <f>'SEI Scenario LIT'!CK24</f>
        <v>56.32382738210584</v>
      </c>
      <c r="T81" s="18">
        <f>'SEI Scenario LIT'!CP24</f>
        <v>254.68109321577725</v>
      </c>
      <c r="U81" s="18">
        <f>'SEI Scenario LIT'!CU24</f>
        <v>53.458199534345859</v>
      </c>
      <c r="V81" s="18">
        <f>'SEI Scenario LIT'!CZ24</f>
        <v>946.52770291081117</v>
      </c>
      <c r="W81" s="18">
        <f>'SEI Scenario LIT'!DE24</f>
        <v>258.49603284528126</v>
      </c>
      <c r="X81" s="18">
        <f>'SEI Scenario LIT'!DJ24</f>
        <v>351.8817344082824</v>
      </c>
      <c r="Y81" s="18">
        <f>'SEI Scenario LIT'!DO24</f>
        <v>135.99302349138009</v>
      </c>
      <c r="Z81" s="18">
        <f>'SEI Scenario LIT'!DT24</f>
        <v>180.97735260009301</v>
      </c>
      <c r="AA81" s="18">
        <f>'SEI Scenario LIT'!DY24</f>
        <v>492.86652426273616</v>
      </c>
    </row>
    <row r="82" spans="1:27" x14ac:dyDescent="0.35">
      <c r="A82" s="47">
        <f t="shared" si="6"/>
        <v>2042</v>
      </c>
      <c r="B82" s="18">
        <f>'SEI Scenario LIT'!P25</f>
        <v>66.382701404426655</v>
      </c>
      <c r="C82" s="18">
        <f>'SEI Scenario LIT'!U25</f>
        <v>6173.3939772741278</v>
      </c>
      <c r="D82" s="18">
        <f>'SEI Scenario LIT'!Z25</f>
        <v>0</v>
      </c>
      <c r="E82" s="18">
        <f>'SEI Scenario LIT'!AE25</f>
        <v>0</v>
      </c>
      <c r="G82" s="47">
        <f t="shared" si="7"/>
        <v>2042</v>
      </c>
      <c r="H82" s="18">
        <f>'SEI Scenario LIT'!AN25</f>
        <v>4129.9420927385681</v>
      </c>
      <c r="I82" s="18">
        <f>'SEI Scenario LIT'!AS25</f>
        <v>34.406209660999316</v>
      </c>
      <c r="J82" s="18">
        <f>'SEI Scenario LIT'!AX25</f>
        <v>1035.7876089843169</v>
      </c>
      <c r="K82" s="18">
        <f>'SEI Scenario LIT'!BC25</f>
        <v>1267.9157160014126</v>
      </c>
      <c r="L82" s="18">
        <f>'SEI Scenario LIT'!BH25</f>
        <v>4694.8265898873797</v>
      </c>
      <c r="N82" s="47">
        <f t="shared" si="8"/>
        <v>2042</v>
      </c>
      <c r="O82" s="18">
        <f>'SEI Scenario LIT'!BQ25</f>
        <v>17.320290418431629</v>
      </c>
      <c r="P82" s="18">
        <f>'SEI Scenario LIT'!BV25</f>
        <v>1112.609941780968</v>
      </c>
      <c r="Q82" s="18">
        <f>'SEI Scenario LIT'!CA25</f>
        <v>0</v>
      </c>
      <c r="R82" s="18">
        <f>'SEI Scenario LIT'!CF25</f>
        <v>407.45785915404514</v>
      </c>
      <c r="S82" s="18">
        <f>'SEI Scenario LIT'!CK25</f>
        <v>56.293302419997573</v>
      </c>
      <c r="T82" s="18">
        <f>'SEI Scenario LIT'!CP25</f>
        <v>256.61637162122599</v>
      </c>
      <c r="U82" s="18">
        <f>'SEI Scenario LIT'!CU25</f>
        <v>54.982010638855321</v>
      </c>
      <c r="V82" s="18">
        <f>'SEI Scenario LIT'!CZ25</f>
        <v>965.7572947145942</v>
      </c>
      <c r="W82" s="18">
        <f>'SEI Scenario LIT'!DE25</f>
        <v>264.28993166033376</v>
      </c>
      <c r="X82" s="18">
        <f>'SEI Scenario LIT'!DJ25</f>
        <v>352.34082404429608</v>
      </c>
      <c r="Y82" s="18">
        <f>'SEI Scenario LIT'!DO25</f>
        <v>137.05404245977215</v>
      </c>
      <c r="Z82" s="18">
        <f>'SEI Scenario LIT'!DT25</f>
        <v>183.07806260048508</v>
      </c>
      <c r="AA82" s="18">
        <f>'SEI Scenario LIT'!DY25</f>
        <v>491.52580729316242</v>
      </c>
    </row>
    <row r="83" spans="1:27" x14ac:dyDescent="0.35">
      <c r="A83" s="47">
        <f t="shared" si="6"/>
        <v>2043</v>
      </c>
      <c r="B83" s="18">
        <f>'SEI Scenario LIT'!P26</f>
        <v>69.913926874901946</v>
      </c>
      <c r="C83" s="18">
        <f>'SEI Scenario LIT'!U26</f>
        <v>6604.4244230066333</v>
      </c>
      <c r="D83" s="18">
        <f>'SEI Scenario LIT'!Z26</f>
        <v>0</v>
      </c>
      <c r="E83" s="18">
        <f>'SEI Scenario LIT'!AE26</f>
        <v>0</v>
      </c>
      <c r="G83" s="47">
        <f t="shared" si="7"/>
        <v>2043</v>
      </c>
      <c r="H83" s="18">
        <f>'SEI Scenario LIT'!AN26</f>
        <v>4395.5208699839513</v>
      </c>
      <c r="I83" s="18">
        <f>'SEI Scenario LIT'!AS26</f>
        <v>34.446914208819301</v>
      </c>
      <c r="J83" s="18">
        <f>'SEI Scenario LIT'!AX26</f>
        <v>1070.5834710952204</v>
      </c>
      <c r="K83" s="18">
        <f>'SEI Scenario LIT'!BC26</f>
        <v>1331.8592265136801</v>
      </c>
      <c r="L83" s="18">
        <f>'SEI Scenario LIT'!BH26</f>
        <v>4700.3808428933771</v>
      </c>
      <c r="N83" s="47">
        <f t="shared" si="8"/>
        <v>2043</v>
      </c>
      <c r="O83" s="18">
        <f>'SEI Scenario LIT'!BQ26</f>
        <v>17.271369011965916</v>
      </c>
      <c r="P83" s="18">
        <f>'SEI Scenario LIT'!BV26</f>
        <v>1152.8810990272038</v>
      </c>
      <c r="Q83" s="18">
        <f>'SEI Scenario LIT'!CA26</f>
        <v>0</v>
      </c>
      <c r="R83" s="18">
        <f>'SEI Scenario LIT'!CF26</f>
        <v>418.78703060704942</v>
      </c>
      <c r="S83" s="18">
        <f>'SEI Scenario LIT'!CK26</f>
        <v>56.247419023488057</v>
      </c>
      <c r="T83" s="18">
        <f>'SEI Scenario LIT'!CP26</f>
        <v>258.19387003371611</v>
      </c>
      <c r="U83" s="18">
        <f>'SEI Scenario LIT'!CU26</f>
        <v>56.275299982616474</v>
      </c>
      <c r="V83" s="18">
        <f>'SEI Scenario LIT'!CZ26</f>
        <v>981.98319792909683</v>
      </c>
      <c r="W83" s="18">
        <f>'SEI Scenario LIT'!DE26</f>
        <v>269.18810635654847</v>
      </c>
      <c r="X83" s="18">
        <f>'SEI Scenario LIT'!DJ26</f>
        <v>352.61359577999787</v>
      </c>
      <c r="Y83" s="18">
        <f>'SEI Scenario LIT'!DO26</f>
        <v>137.92017365902893</v>
      </c>
      <c r="Z83" s="18">
        <f>'SEI Scenario LIT'!DT26</f>
        <v>184.82363873101878</v>
      </c>
      <c r="AA83" s="18">
        <f>'SEI Scenario LIT'!DY26</f>
        <v>490.20000079413228</v>
      </c>
    </row>
    <row r="84" spans="1:27" x14ac:dyDescent="0.35">
      <c r="A84" s="47">
        <f t="shared" si="6"/>
        <v>2044</v>
      </c>
      <c r="B84" s="18">
        <f>'SEI Scenario LIT'!P27</f>
        <v>72.859413195981247</v>
      </c>
      <c r="C84" s="18">
        <f>'SEI Scenario LIT'!U27</f>
        <v>6964.2580772394513</v>
      </c>
      <c r="D84" s="18">
        <f>'SEI Scenario LIT'!Z27</f>
        <v>0</v>
      </c>
      <c r="E84" s="18">
        <f>'SEI Scenario LIT'!AE27</f>
        <v>0</v>
      </c>
      <c r="G84" s="47">
        <f t="shared" si="7"/>
        <v>2044</v>
      </c>
      <c r="H84" s="18">
        <f>'SEI Scenario LIT'!AN27</f>
        <v>4619.7461783236222</v>
      </c>
      <c r="I84" s="18">
        <f>'SEI Scenario LIT'!AS27</f>
        <v>34.488120438586279</v>
      </c>
      <c r="J84" s="18">
        <f>'SEI Scenario LIT'!AX27</f>
        <v>1100.0614285443276</v>
      </c>
      <c r="K84" s="18">
        <f>'SEI Scenario LIT'!BC27</f>
        <v>1385.9014448849882</v>
      </c>
      <c r="L84" s="18">
        <f>'SEI Scenario LIT'!BH27</f>
        <v>4706.003551848682</v>
      </c>
      <c r="N84" s="47">
        <f t="shared" si="8"/>
        <v>2044</v>
      </c>
      <c r="O84" s="18">
        <f>'SEI Scenario LIT'!BQ27</f>
        <v>17.222812268342384</v>
      </c>
      <c r="P84" s="18">
        <f>'SEI Scenario LIT'!BV27</f>
        <v>1185.9590201392987</v>
      </c>
      <c r="Q84" s="18">
        <f>'SEI Scenario LIT'!CA27</f>
        <v>0</v>
      </c>
      <c r="R84" s="18">
        <f>'SEI Scenario LIT'!CF27</f>
        <v>428.05022473180838</v>
      </c>
      <c r="S84" s="18">
        <f>'SEI Scenario LIT'!CK27</f>
        <v>56.183917265601316</v>
      </c>
      <c r="T84" s="18">
        <f>'SEI Scenario LIT'!CP27</f>
        <v>259.39405770361225</v>
      </c>
      <c r="U84" s="18">
        <f>'SEI Scenario LIT'!CU27</f>
        <v>57.328948498145266</v>
      </c>
      <c r="V84" s="18">
        <f>'SEI Scenario LIT'!CZ27</f>
        <v>995.07876311046471</v>
      </c>
      <c r="W84" s="18">
        <f>'SEI Scenario LIT'!DE27</f>
        <v>273.15353334300363</v>
      </c>
      <c r="X84" s="18">
        <f>'SEI Scenario LIT'!DJ27</f>
        <v>352.68301231453847</v>
      </c>
      <c r="Y84" s="18">
        <f>'SEI Scenario LIT'!DO27</f>
        <v>138.58086407986013</v>
      </c>
      <c r="Z84" s="18">
        <f>'SEI Scenario LIT'!DT27</f>
        <v>186.19694390689199</v>
      </c>
      <c r="AA84" s="18">
        <f>'SEI Scenario LIT'!DY27</f>
        <v>488.87415103748623</v>
      </c>
    </row>
    <row r="85" spans="1:27" x14ac:dyDescent="0.35">
      <c r="A85" s="47">
        <f t="shared" si="6"/>
        <v>2045</v>
      </c>
      <c r="B85" s="18">
        <f>'SEI Scenario LIT'!P28</f>
        <v>75.245387939709985</v>
      </c>
      <c r="C85" s="18">
        <f>'SEI Scenario LIT'!U28</f>
        <v>7256.126423642756</v>
      </c>
      <c r="D85" s="18">
        <f>'SEI Scenario LIT'!Z28</f>
        <v>0</v>
      </c>
      <c r="E85" s="18">
        <f>'SEI Scenario LIT'!AE28</f>
        <v>0</v>
      </c>
      <c r="G85" s="47">
        <f t="shared" si="7"/>
        <v>2045</v>
      </c>
      <c r="H85" s="18">
        <f>'SEI Scenario LIT'!AN28</f>
        <v>4804.2612281987258</v>
      </c>
      <c r="I85" s="18">
        <f>'SEI Scenario LIT'!AS28</f>
        <v>34.529013014983732</v>
      </c>
      <c r="J85" s="18">
        <f>'SEI Scenario LIT'!AX28</f>
        <v>1124.4211416998935</v>
      </c>
      <c r="K85" s="18">
        <f>'SEI Scenario LIT'!BC28</f>
        <v>1430.4293638403171</v>
      </c>
      <c r="L85" s="18">
        <f>'SEI Scenario LIT'!BH28</f>
        <v>4711.5834618966464</v>
      </c>
      <c r="N85" s="47">
        <f t="shared" si="8"/>
        <v>2045</v>
      </c>
      <c r="O85" s="18">
        <f>'SEI Scenario LIT'!BQ28</f>
        <v>17.174211513686171</v>
      </c>
      <c r="P85" s="18">
        <f>'SEI Scenario LIT'!BV28</f>
        <v>1212.1896566190592</v>
      </c>
      <c r="Q85" s="18">
        <f>'SEI Scenario LIT'!CA28</f>
        <v>0</v>
      </c>
      <c r="R85" s="18">
        <f>'SEI Scenario LIT'!CF28</f>
        <v>435.34482399439349</v>
      </c>
      <c r="S85" s="18">
        <f>'SEI Scenario LIT'!CK28</f>
        <v>56.102438705781964</v>
      </c>
      <c r="T85" s="18">
        <f>'SEI Scenario LIT'!CP28</f>
        <v>260.23061842589505</v>
      </c>
      <c r="U85" s="18">
        <f>'SEI Scenario LIT'!CU28</f>
        <v>58.1540782033019</v>
      </c>
      <c r="V85" s="18">
        <f>'SEI Scenario LIT'!CZ28</f>
        <v>1005.1837008853403</v>
      </c>
      <c r="W85" s="18">
        <f>'SEI Scenario LIT'!DE28</f>
        <v>276.22837068450679</v>
      </c>
      <c r="X85" s="18">
        <f>'SEI Scenario LIT'!DJ28</f>
        <v>352.55163089878442</v>
      </c>
      <c r="Y85" s="18">
        <f>'SEI Scenario LIT'!DO28</f>
        <v>139.04362447484232</v>
      </c>
      <c r="Z85" s="18">
        <f>'SEI Scenario LIT'!DT28</f>
        <v>187.21305728272119</v>
      </c>
      <c r="AA85" s="18">
        <f>'SEI Scenario LIT'!DY28</f>
        <v>487.53719639337703</v>
      </c>
    </row>
    <row r="86" spans="1:27" x14ac:dyDescent="0.35">
      <c r="A86" s="47">
        <f t="shared" si="6"/>
        <v>2046</v>
      </c>
      <c r="B86" s="18">
        <f>'SEI Scenario LIT'!P29</f>
        <v>77.129883661091199</v>
      </c>
      <c r="C86" s="18">
        <f>'SEI Scenario LIT'!U29</f>
        <v>7487.1070323251051</v>
      </c>
      <c r="D86" s="18">
        <f>'SEI Scenario LIT'!Z29</f>
        <v>0</v>
      </c>
      <c r="E86" s="18">
        <f>'SEI Scenario LIT'!AE29</f>
        <v>0</v>
      </c>
      <c r="G86" s="47">
        <f t="shared" si="7"/>
        <v>2046</v>
      </c>
      <c r="H86" s="18">
        <f>'SEI Scenario LIT'!AN29</f>
        <v>4953.0369249888117</v>
      </c>
      <c r="I86" s="18">
        <f>'SEI Scenario LIT'!AS29</f>
        <v>34.569106118946173</v>
      </c>
      <c r="J86" s="18">
        <f>'SEI Scenario LIT'!AX29</f>
        <v>1144.1668441196068</v>
      </c>
      <c r="K86" s="18">
        <f>'SEI Scenario LIT'!BC29</f>
        <v>1466.3901955057313</v>
      </c>
      <c r="L86" s="18">
        <f>'SEI Scenario LIT'!BH29</f>
        <v>4717.0542816239167</v>
      </c>
      <c r="N86" s="47">
        <f t="shared" si="8"/>
        <v>2046</v>
      </c>
      <c r="O86" s="18">
        <f>'SEI Scenario LIT'!BQ29</f>
        <v>17.125327830962753</v>
      </c>
      <c r="P86" s="18">
        <f>'SEI Scenario LIT'!BV29</f>
        <v>1232.3010794935158</v>
      </c>
      <c r="Q86" s="18">
        <f>'SEI Scenario LIT'!CA29</f>
        <v>0</v>
      </c>
      <c r="R86" s="18">
        <f>'SEI Scenario LIT'!CF29</f>
        <v>440.87891658256723</v>
      </c>
      <c r="S86" s="18">
        <f>'SEI Scenario LIT'!CK29</f>
        <v>56.004143864997012</v>
      </c>
      <c r="T86" s="18">
        <f>'SEI Scenario LIT'!CP29</f>
        <v>260.73943734448522</v>
      </c>
      <c r="U86" s="18">
        <f>'SEI Scenario LIT'!CU29</f>
        <v>58.774736325496207</v>
      </c>
      <c r="V86" s="18">
        <f>'SEI Scenario LIT'!CZ29</f>
        <v>1012.6092533524914</v>
      </c>
      <c r="W86" s="18">
        <f>'SEI Scenario LIT'!DE29</f>
        <v>278.5056322023031</v>
      </c>
      <c r="X86" s="18">
        <f>'SEI Scenario LIT'!DJ29</f>
        <v>352.23630397462034</v>
      </c>
      <c r="Y86" s="18">
        <f>'SEI Scenario LIT'!DO29</f>
        <v>139.3280248786856</v>
      </c>
      <c r="Z86" s="18">
        <f>'SEI Scenario LIT'!DT29</f>
        <v>187.9081997292954</v>
      </c>
      <c r="AA86" s="18">
        <f>'SEI Scenario LIT'!DY29</f>
        <v>486.18342723921569</v>
      </c>
    </row>
    <row r="87" spans="1:27" x14ac:dyDescent="0.35">
      <c r="A87" s="47">
        <f t="shared" si="6"/>
        <v>2047</v>
      </c>
      <c r="B87" s="18">
        <f>'SEI Scenario LIT'!P30</f>
        <v>78.582696757523379</v>
      </c>
      <c r="C87" s="18">
        <f>'SEI Scenario LIT'!U30</f>
        <v>7665.7666278725264</v>
      </c>
      <c r="D87" s="18">
        <f>'SEI Scenario LIT'!Z30</f>
        <v>0</v>
      </c>
      <c r="E87" s="18">
        <f>'SEI Scenario LIT'!AE30</f>
        <v>0</v>
      </c>
      <c r="G87" s="47">
        <f t="shared" si="7"/>
        <v>2047</v>
      </c>
      <c r="H87" s="18">
        <f>'SEI Scenario LIT'!AN30</f>
        <v>5070.9614164343047</v>
      </c>
      <c r="I87" s="18">
        <f>'SEI Scenario LIT'!AS30</f>
        <v>34.606810298559324</v>
      </c>
      <c r="J87" s="18">
        <f>'SEI Scenario LIT'!AX30</f>
        <v>1159.9047211097804</v>
      </c>
      <c r="K87" s="18">
        <f>'SEI Scenario LIT'!BC30</f>
        <v>1494.9419192355854</v>
      </c>
      <c r="L87" s="18">
        <f>'SEI Scenario LIT'!BH30</f>
        <v>4722.1991257303098</v>
      </c>
      <c r="N87" s="47">
        <f t="shared" si="8"/>
        <v>2047</v>
      </c>
      <c r="O87" s="18">
        <f>'SEI Scenario LIT'!BQ30</f>
        <v>17.075381596164696</v>
      </c>
      <c r="P87" s="18">
        <f>'SEI Scenario LIT'!BV30</f>
        <v>1247.1474011562907</v>
      </c>
      <c r="Q87" s="18">
        <f>'SEI Scenario LIT'!CA30</f>
        <v>0</v>
      </c>
      <c r="R87" s="18">
        <f>'SEI Scenario LIT'!CF30</f>
        <v>444.8940882004689</v>
      </c>
      <c r="S87" s="18">
        <f>'SEI Scenario LIT'!CK30</f>
        <v>55.888854804442687</v>
      </c>
      <c r="T87" s="18">
        <f>'SEI Scenario LIT'!CP30</f>
        <v>260.95691473030428</v>
      </c>
      <c r="U87" s="18">
        <f>'SEI Scenario LIT'!CU30</f>
        <v>59.218618237123671</v>
      </c>
      <c r="V87" s="18">
        <f>'SEI Scenario LIT'!CZ30</f>
        <v>1017.7067050861043</v>
      </c>
      <c r="W87" s="18">
        <f>'SEI Scenario LIT'!DE30</f>
        <v>280.09098508271472</v>
      </c>
      <c r="X87" s="18">
        <f>'SEI Scenario LIT'!DJ30</f>
        <v>351.74758023836665</v>
      </c>
      <c r="Y87" s="18">
        <f>'SEI Scenario LIT'!DO30</f>
        <v>139.45399791298377</v>
      </c>
      <c r="Z87" s="18">
        <f>'SEI Scenario LIT'!DT30</f>
        <v>188.3212562014389</v>
      </c>
      <c r="AA87" s="18">
        <f>'SEI Scenario LIT'!DY30</f>
        <v>484.79202095236064</v>
      </c>
    </row>
    <row r="88" spans="1:27" x14ac:dyDescent="0.35">
      <c r="A88" s="47">
        <f t="shared" si="6"/>
        <v>2048</v>
      </c>
      <c r="B88" s="18">
        <f>'SEI Scenario LIT'!P31</f>
        <v>79.675856936254604</v>
      </c>
      <c r="C88" s="18">
        <f>'SEI Scenario LIT'!U31</f>
        <v>7800.9307147545142</v>
      </c>
      <c r="D88" s="18">
        <f>'SEI Scenario LIT'!Z31</f>
        <v>0</v>
      </c>
      <c r="E88" s="18">
        <f>'SEI Scenario LIT'!AE31</f>
        <v>0</v>
      </c>
      <c r="G88" s="47">
        <f t="shared" si="7"/>
        <v>2048</v>
      </c>
      <c r="H88" s="18">
        <f>'SEI Scenario LIT'!AN31</f>
        <v>5163.1264934669398</v>
      </c>
      <c r="I88" s="18">
        <f>'SEI Scenario LIT'!AS31</f>
        <v>34.640753709990598</v>
      </c>
      <c r="J88" s="18">
        <f>'SEI Scenario LIT'!AX31</f>
        <v>1172.2703693040262</v>
      </c>
      <c r="K88" s="18">
        <f>'SEI Scenario LIT'!BC31</f>
        <v>1517.2930553638319</v>
      </c>
      <c r="L88" s="18">
        <f>'SEI Scenario LIT'!BH31</f>
        <v>4726.8308021663124</v>
      </c>
      <c r="N88" s="47">
        <f t="shared" si="8"/>
        <v>2048</v>
      </c>
      <c r="O88" s="18">
        <f>'SEI Scenario LIT'!BQ31</f>
        <v>17.023712643801861</v>
      </c>
      <c r="P88" s="18">
        <f>'SEI Scenario LIT'!BV31</f>
        <v>1257.6054855939865</v>
      </c>
      <c r="Q88" s="18">
        <f>'SEI Scenario LIT'!CA31</f>
        <v>0</v>
      </c>
      <c r="R88" s="18">
        <f>'SEI Scenario LIT'!CF31</f>
        <v>447.63906920503661</v>
      </c>
      <c r="S88" s="18">
        <f>'SEI Scenario LIT'!CK31</f>
        <v>55.756821128369445</v>
      </c>
      <c r="T88" s="18">
        <f>'SEI Scenario LIT'!CP31</f>
        <v>260.92202035431967</v>
      </c>
      <c r="U88" s="18">
        <f>'SEI Scenario LIT'!CU31</f>
        <v>59.514301627220121</v>
      </c>
      <c r="V88" s="18">
        <f>'SEI Scenario LIT'!CZ31</f>
        <v>1020.8405842652651</v>
      </c>
      <c r="W88" s="18">
        <f>'SEI Scenario LIT'!DE31</f>
        <v>281.0938797582333</v>
      </c>
      <c r="X88" s="18">
        <f>'SEI Scenario LIT'!DJ31</f>
        <v>351.09887886310383</v>
      </c>
      <c r="Y88" s="18">
        <f>'SEI Scenario LIT'!DO31</f>
        <v>139.4428567245192</v>
      </c>
      <c r="Z88" s="18">
        <f>'SEI Scenario LIT'!DT31</f>
        <v>188.49316019372617</v>
      </c>
      <c r="AA88" s="18">
        <f>'SEI Scenario LIT'!DY31</f>
        <v>483.34556668905839</v>
      </c>
    </row>
    <row r="89" spans="1:27" x14ac:dyDescent="0.35">
      <c r="A89" s="47">
        <f t="shared" si="6"/>
        <v>2049</v>
      </c>
      <c r="B89" s="18">
        <f>'SEI Scenario LIT'!P32</f>
        <v>80.474711937480521</v>
      </c>
      <c r="C89" s="18">
        <f>'SEI Scenario LIT'!U32</f>
        <v>7900.6349958324508</v>
      </c>
      <c r="D89" s="18">
        <f>'SEI Scenario LIT'!Z32</f>
        <v>0</v>
      </c>
      <c r="E89" s="18">
        <f>'SEI Scenario LIT'!AE32</f>
        <v>0</v>
      </c>
      <c r="G89" s="47">
        <f t="shared" si="7"/>
        <v>2049</v>
      </c>
      <c r="H89" s="18">
        <f>'SEI Scenario LIT'!AN32</f>
        <v>5234.1877965720678</v>
      </c>
      <c r="I89" s="18">
        <f>'SEI Scenario LIT'!AS32</f>
        <v>34.669144489978393</v>
      </c>
      <c r="J89" s="18">
        <f>'SEI Scenario LIT'!AX32</f>
        <v>1181.8370683307021</v>
      </c>
      <c r="K89" s="18">
        <f>'SEI Scenario LIT'!BC32</f>
        <v>1534.5442515712496</v>
      </c>
      <c r="L89" s="18">
        <f>'SEI Scenario LIT'!BH32</f>
        <v>4730.7048060193265</v>
      </c>
      <c r="N89" s="47">
        <f t="shared" si="8"/>
        <v>2049</v>
      </c>
      <c r="O89" s="18">
        <f>'SEI Scenario LIT'!BQ32</f>
        <v>16.969465902382225</v>
      </c>
      <c r="P89" s="18">
        <f>'SEI Scenario LIT'!BV32</f>
        <v>1264.462741773084</v>
      </c>
      <c r="Q89" s="18">
        <f>'SEI Scenario LIT'!CA32</f>
        <v>0</v>
      </c>
      <c r="R89" s="18">
        <f>'SEI Scenario LIT'!CF32</f>
        <v>449.33588856070526</v>
      </c>
      <c r="S89" s="18">
        <f>'SEI Scenario LIT'!CK32</f>
        <v>55.607458510521667</v>
      </c>
      <c r="T89" s="18">
        <f>'SEI Scenario LIT'!CP32</f>
        <v>260.66675627158372</v>
      </c>
      <c r="U89" s="18">
        <f>'SEI Scenario LIT'!CU32</f>
        <v>59.687178386316823</v>
      </c>
      <c r="V89" s="18">
        <f>'SEI Scenario LIT'!CZ32</f>
        <v>1022.330962950244</v>
      </c>
      <c r="W89" s="18">
        <f>'SEI Scenario LIT'!DE32</f>
        <v>281.61078951671556</v>
      </c>
      <c r="X89" s="18">
        <f>'SEI Scenario LIT'!DJ32</f>
        <v>350.29740711948091</v>
      </c>
      <c r="Y89" s="18">
        <f>'SEI Scenario LIT'!DO32</f>
        <v>139.31215127713023</v>
      </c>
      <c r="Z89" s="18">
        <f>'SEI Scenario LIT'!DT32</f>
        <v>188.45877524822916</v>
      </c>
      <c r="AA89" s="18">
        <f>'SEI Scenario LIT'!DY32</f>
        <v>481.82101165877867</v>
      </c>
    </row>
    <row r="90" spans="1:27" x14ac:dyDescent="0.35">
      <c r="A90" s="47">
        <f t="shared" si="6"/>
        <v>2050</v>
      </c>
      <c r="B90" s="18">
        <f>'SEI Scenario LIT'!P33</f>
        <v>81.036875106475449</v>
      </c>
      <c r="C90" s="18">
        <f>'SEI Scenario LIT'!U33</f>
        <v>7971.9377653013307</v>
      </c>
      <c r="D90" s="18">
        <f>'SEI Scenario LIT'!Z33</f>
        <v>0</v>
      </c>
      <c r="E90" s="18">
        <f>'SEI Scenario LIT'!AE33</f>
        <v>0</v>
      </c>
      <c r="G90" s="47">
        <f t="shared" si="7"/>
        <v>2050</v>
      </c>
      <c r="H90" s="18">
        <f>'SEI Scenario LIT'!AN33</f>
        <v>5288.2609056870724</v>
      </c>
      <c r="I90" s="18">
        <f>'SEI Scenario LIT'!AS33</f>
        <v>34.690871656435476</v>
      </c>
      <c r="J90" s="18">
        <f>'SEI Scenario LIT'!AX33</f>
        <v>1189.1185251190882</v>
      </c>
      <c r="K90" s="18">
        <f>'SEI Scenario LIT'!BC33</f>
        <v>1547.6723101994719</v>
      </c>
      <c r="L90" s="18">
        <f>'SEI Scenario LIT'!BH33</f>
        <v>4733.66954057773</v>
      </c>
      <c r="N90" s="47">
        <f t="shared" si="8"/>
        <v>2050</v>
      </c>
      <c r="O90" s="18">
        <f>'SEI Scenario LIT'!BQ33</f>
        <v>16.912132101384813</v>
      </c>
      <c r="P90" s="18">
        <f>'SEI Scenario LIT'!BV33</f>
        <v>1268.4150303856127</v>
      </c>
      <c r="Q90" s="18">
        <f>'SEI Scenario LIT'!CA33</f>
        <v>0</v>
      </c>
      <c r="R90" s="18">
        <f>'SEI Scenario LIT'!CF33</f>
        <v>450.18200738472984</v>
      </c>
      <c r="S90" s="18">
        <f>'SEI Scenario LIT'!CK33</f>
        <v>55.441010110242551</v>
      </c>
      <c r="T90" s="18">
        <f>'SEI Scenario LIT'!CP33</f>
        <v>260.22221490352905</v>
      </c>
      <c r="U90" s="18">
        <f>'SEI Scenario LIT'!CU33</f>
        <v>59.759942239707101</v>
      </c>
      <c r="V90" s="18">
        <f>'SEI Scenario LIT'!CZ33</f>
        <v>1022.4675282390368</v>
      </c>
      <c r="W90" s="18">
        <f>'SEI Scenario LIT'!DE33</f>
        <v>281.72867290101345</v>
      </c>
      <c r="X90" s="18">
        <f>'SEI Scenario LIT'!DJ33</f>
        <v>349.35408421184616</v>
      </c>
      <c r="Y90" s="18">
        <f>'SEI Scenario LIT'!DO33</f>
        <v>139.07888382598179</v>
      </c>
      <c r="Z90" s="18">
        <f>'SEI Scenario LIT'!DT33</f>
        <v>188.25069092789471</v>
      </c>
      <c r="AA90" s="18">
        <f>'SEI Scenario LIT'!DY33</f>
        <v>480.20495260767763</v>
      </c>
    </row>
  </sheetData>
  <pageMargins left="0.7" right="0.7" top="0.75" bottom="0.75" header="0.3" footer="0.3"/>
  <pageSetup orientation="portrait" horizontalDpi="4294967295" verticalDpi="4294967295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1F6E4C"/>
  </sheetPr>
  <dimension ref="A2:AU1031"/>
  <sheetViews>
    <sheetView showGridLines="0" topLeftCell="H1" zoomScaleNormal="100" workbookViewId="0">
      <selection activeCell="I22" sqref="A22:XFD31"/>
    </sheetView>
  </sheetViews>
  <sheetFormatPr defaultColWidth="8.54296875" defaultRowHeight="14.5" x14ac:dyDescent="0.35"/>
  <cols>
    <col min="1" max="1" width="0" hidden="1" customWidth="1"/>
    <col min="2" max="2" width="9.1796875" style="7" hidden="1" customWidth="1"/>
    <col min="3" max="3" width="0" hidden="1" customWidth="1"/>
    <col min="4" max="4" width="9.54296875" hidden="1" customWidth="1"/>
    <col min="5" max="7" width="0" hidden="1" customWidth="1"/>
    <col min="32" max="37" width="0" hidden="1" customWidth="1"/>
    <col min="40" max="40" width="0" hidden="1" customWidth="1"/>
    <col min="41" max="41" width="10.54296875" hidden="1" customWidth="1"/>
    <col min="42" max="43" width="0" hidden="1" customWidth="1"/>
    <col min="45" max="45" width="9.7265625" customWidth="1"/>
    <col min="47" max="47" width="9.7265625" customWidth="1"/>
  </cols>
  <sheetData>
    <row r="2" spans="1:47" ht="19" customHeight="1" x14ac:dyDescent="0.35">
      <c r="B2" s="81" t="s">
        <v>188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48" t="s">
        <v>679</v>
      </c>
      <c r="AT2" s="48"/>
      <c r="AU2" s="48"/>
    </row>
    <row r="3" spans="1:47" ht="19" customHeight="1" x14ac:dyDescent="0.35">
      <c r="A3" s="80" t="s">
        <v>189</v>
      </c>
      <c r="B3" s="11"/>
      <c r="C3" s="11" t="s">
        <v>190</v>
      </c>
      <c r="D3" s="11" t="s">
        <v>126</v>
      </c>
      <c r="E3" s="11" t="s">
        <v>128</v>
      </c>
      <c r="F3" s="11"/>
      <c r="G3" s="11"/>
      <c r="H3" s="80" t="s">
        <v>191</v>
      </c>
      <c r="I3" s="11"/>
      <c r="J3" s="11" t="s">
        <v>190</v>
      </c>
      <c r="K3" s="11" t="s">
        <v>126</v>
      </c>
      <c r="L3" s="11" t="s">
        <v>128</v>
      </c>
      <c r="M3" s="11"/>
      <c r="N3" s="11"/>
      <c r="O3" s="80" t="s">
        <v>192</v>
      </c>
      <c r="P3" s="11"/>
      <c r="Q3" s="11" t="s">
        <v>190</v>
      </c>
      <c r="R3" s="11" t="s">
        <v>126</v>
      </c>
      <c r="S3" s="11" t="s">
        <v>128</v>
      </c>
      <c r="T3" s="11"/>
      <c r="U3" s="11"/>
      <c r="V3" s="80" t="s">
        <v>193</v>
      </c>
      <c r="W3" s="11"/>
      <c r="X3" s="11" t="s">
        <v>190</v>
      </c>
      <c r="Y3" s="11" t="s">
        <v>126</v>
      </c>
      <c r="Z3" s="11" t="s">
        <v>128</v>
      </c>
      <c r="AD3" s="7"/>
      <c r="AE3" s="7"/>
      <c r="AF3" s="80" t="s">
        <v>192</v>
      </c>
      <c r="AG3" s="11"/>
      <c r="AH3" s="11" t="s">
        <v>190</v>
      </c>
      <c r="AI3" s="11" t="s">
        <v>126</v>
      </c>
      <c r="AJ3" s="11" t="s">
        <v>128</v>
      </c>
      <c r="AK3" s="7"/>
      <c r="AM3" s="80" t="s">
        <v>193</v>
      </c>
      <c r="AN3" s="11"/>
      <c r="AO3" s="11" t="s">
        <v>190</v>
      </c>
      <c r="AP3" s="11" t="s">
        <v>126</v>
      </c>
      <c r="AQ3" s="11" t="s">
        <v>128</v>
      </c>
      <c r="AR3" s="11"/>
      <c r="AS3" s="11" t="s">
        <v>190</v>
      </c>
      <c r="AT3" s="11" t="s">
        <v>126</v>
      </c>
      <c r="AU3" s="11" t="s">
        <v>128</v>
      </c>
    </row>
    <row r="4" spans="1:47" ht="15" customHeight="1" x14ac:dyDescent="0.35">
      <c r="A4" s="80"/>
      <c r="B4" s="17">
        <v>2023</v>
      </c>
      <c r="C4" s="44">
        <v>0.27</v>
      </c>
      <c r="D4" s="44">
        <v>0.45</v>
      </c>
      <c r="E4" s="44">
        <v>6.0000000000000001E-3</v>
      </c>
      <c r="F4" s="38"/>
      <c r="G4" s="38"/>
      <c r="H4" s="80"/>
      <c r="I4" s="17">
        <v>2023</v>
      </c>
      <c r="J4" s="44">
        <v>0.26600000000000001</v>
      </c>
      <c r="K4" s="44">
        <v>0.45500000000000002</v>
      </c>
      <c r="L4" s="44">
        <v>6.0000000000000001E-3</v>
      </c>
      <c r="M4" s="38"/>
      <c r="N4" s="38"/>
      <c r="O4" s="80"/>
      <c r="P4" s="17">
        <v>2023</v>
      </c>
      <c r="Q4" s="44">
        <v>0.26600000000000001</v>
      </c>
      <c r="R4" s="44">
        <v>0.45500000000000002</v>
      </c>
      <c r="S4" s="44">
        <v>6.0000000000000001E-3</v>
      </c>
      <c r="T4" s="38"/>
      <c r="U4" s="38"/>
      <c r="V4" s="80"/>
      <c r="W4" s="17">
        <v>2024</v>
      </c>
      <c r="X4" s="21">
        <f>'SEI Scenario EST'!BK7</f>
        <v>0.29049754422154289</v>
      </c>
      <c r="Y4" s="21">
        <f>'SEI Scenario EST'!EB7</f>
        <v>0.31407251851771661</v>
      </c>
      <c r="Z4" s="21">
        <f>'SEI Scenario EST'!AH7</f>
        <v>5.8443690187284731E-3</v>
      </c>
      <c r="AF4" s="80"/>
      <c r="AG4" s="17">
        <v>2023</v>
      </c>
      <c r="AH4" s="21" t="e">
        <f>(#REF!-#REF!)*'Efficiency Assumptions'!$F$7</f>
        <v>#REF!</v>
      </c>
      <c r="AI4" s="21" t="e">
        <f>(#REF!-#REF!)*'Efficiency Assumptions'!$F$8</f>
        <v>#REF!</v>
      </c>
      <c r="AJ4" s="21" t="e">
        <f>(#REF!-#REF!)*'Efficiency Assumptions'!$F$6</f>
        <v>#REF!</v>
      </c>
      <c r="AM4" s="80"/>
      <c r="AN4" s="17">
        <v>2024</v>
      </c>
      <c r="AO4" s="21">
        <f>(1-'SEI Scenario EST'!BM7)</f>
        <v>1</v>
      </c>
      <c r="AP4" s="21">
        <f>(1-'SEI Scenario EST'!ED7)</f>
        <v>1</v>
      </c>
      <c r="AQ4" s="21">
        <f>(1-'SEI Scenario EST'!AJ7)</f>
        <v>1.0001196835138468</v>
      </c>
      <c r="AR4" s="17">
        <v>2024</v>
      </c>
      <c r="AS4" s="21">
        <f>'SEI Scenario EST'!BM8</f>
        <v>5.7953187228021669E-3</v>
      </c>
      <c r="AT4" s="21">
        <f>'SEI Scenario EST'!ED8</f>
        <v>3.7472983968020049E-3</v>
      </c>
      <c r="AU4" s="21">
        <f>'SEI Scenario EST'!AJ8</f>
        <v>9.2379588255523132E-3</v>
      </c>
    </row>
    <row r="5" spans="1:47" ht="15" customHeight="1" x14ac:dyDescent="0.35">
      <c r="A5" s="80"/>
      <c r="B5" s="17">
        <v>2024</v>
      </c>
      <c r="C5" s="21">
        <f t="shared" ref="C5:C10" si="0">C4+($C$11-$C$4)/($B$11-$B$4)</f>
        <v>0.28857142857142859</v>
      </c>
      <c r="D5" s="21">
        <f t="shared" ref="D5:D10" si="1">D4+($D$11-$D$4)/($B$11-$B$4)</f>
        <v>0.42428571428571432</v>
      </c>
      <c r="E5" s="21">
        <f>E4+($E$11-$E$4)/($B$11-$B$4)</f>
        <v>5.1428571428571426E-3</v>
      </c>
      <c r="H5" s="80"/>
      <c r="I5" s="17">
        <v>2024</v>
      </c>
      <c r="J5" s="44">
        <v>0.29049999999999998</v>
      </c>
      <c r="K5" s="44">
        <v>0.313</v>
      </c>
      <c r="L5" s="44">
        <v>6.0000000000000001E-3</v>
      </c>
      <c r="O5" s="80"/>
      <c r="P5" s="17">
        <v>2024</v>
      </c>
      <c r="Q5" s="44">
        <v>0.29049999999999998</v>
      </c>
      <c r="R5" s="44">
        <v>0.313</v>
      </c>
      <c r="S5" s="44">
        <v>6.0000000000000001E-3</v>
      </c>
      <c r="V5" s="80"/>
      <c r="W5" s="17">
        <v>2025</v>
      </c>
      <c r="X5" s="21">
        <f>'SEI Scenario EST'!BK8</f>
        <v>0.29641494668183155</v>
      </c>
      <c r="Y5" s="21">
        <f>'SEI Scenario EST'!EB8</f>
        <v>0.31808283455222419</v>
      </c>
      <c r="Z5" s="21">
        <f>'SEI Scenario EST'!AH8</f>
        <v>1.2256408657853868E-2</v>
      </c>
      <c r="AF5" s="80"/>
      <c r="AG5" s="17">
        <v>2024</v>
      </c>
      <c r="AH5" s="21" t="e">
        <f>(X4-#REF!)*'Efficiency Assumptions'!$F$7</f>
        <v>#REF!</v>
      </c>
      <c r="AI5" s="21" t="e">
        <f>(Y4-#REF!)*'Efficiency Assumptions'!$F$8</f>
        <v>#REF!</v>
      </c>
      <c r="AJ5" s="21" t="e">
        <f>(Z4-#REF!)*'Efficiency Assumptions'!$F$6</f>
        <v>#REF!</v>
      </c>
      <c r="AM5" s="80"/>
      <c r="AN5" s="17">
        <v>2025</v>
      </c>
      <c r="AO5" s="21">
        <f>(1-'SEI Scenario EST'!BM8)</f>
        <v>0.99420468127719785</v>
      </c>
      <c r="AP5" s="21">
        <f>(1-'SEI Scenario EST'!ED8)</f>
        <v>0.99625270160319801</v>
      </c>
      <c r="AQ5" s="21">
        <f>(1-'SEI Scenario EST'!AJ8)</f>
        <v>0.99076204117444766</v>
      </c>
      <c r="AR5" s="17">
        <v>2025</v>
      </c>
      <c r="AS5" s="21">
        <f>'SEI Scenario EST'!BM9</f>
        <v>7.7689354646138286E-3</v>
      </c>
      <c r="AT5" s="21">
        <f>'SEI Scenario EST'!ED9</f>
        <v>5.0234544127589738E-3</v>
      </c>
      <c r="AU5" s="21">
        <f>'SEI Scenario EST'!AJ9</f>
        <v>1.2424634890684598E-2</v>
      </c>
    </row>
    <row r="6" spans="1:47" ht="15" customHeight="1" x14ac:dyDescent="0.35">
      <c r="A6" s="80"/>
      <c r="B6" s="17">
        <v>2025</v>
      </c>
      <c r="C6" s="21">
        <f t="shared" si="0"/>
        <v>0.30714285714285716</v>
      </c>
      <c r="D6" s="21">
        <f t="shared" si="1"/>
        <v>0.39857142857142863</v>
      </c>
      <c r="E6" s="21">
        <f>E5+($C$11-$C$4)/($B$11-$B$4)</f>
        <v>2.3714285714285716E-2</v>
      </c>
      <c r="H6" s="80"/>
      <c r="I6" s="17">
        <v>2025</v>
      </c>
      <c r="J6" s="21">
        <f>J5+($J$21-$J$5)/($B$21-$B$5)</f>
        <v>0.30734374999999997</v>
      </c>
      <c r="K6" s="21">
        <f t="shared" ref="K6:K20" si="2">K5+($K$21-$K$5)/($I$21-$I$5)</f>
        <v>0.32343749999999999</v>
      </c>
      <c r="L6" s="21">
        <f t="shared" ref="L6:L20" si="3">L5+($L$21-$L$5)/($B$21-$B$5)</f>
        <v>2.4375000000000001E-2</v>
      </c>
      <c r="O6" s="80"/>
      <c r="P6" s="17">
        <v>2025</v>
      </c>
      <c r="Q6" s="21">
        <f>Q5+($Q$31-$Q$5)/($B$31-$B$5)</f>
        <v>0.29836538461538459</v>
      </c>
      <c r="R6" s="21">
        <f t="shared" ref="R6:R30" si="4">R5+($R$31-$R$5)/($B$31-$B$5)</f>
        <v>0.32019230769230766</v>
      </c>
      <c r="S6" s="21">
        <f t="shared" ref="S6:S30" si="5">S5+($S$31-$S$5)/($B$31-$B$5)</f>
        <v>2.019230769230769E-2</v>
      </c>
      <c r="V6" s="80"/>
      <c r="W6" s="17">
        <v>2026</v>
      </c>
      <c r="X6" s="21">
        <f>'SEI Scenario EST'!BK9</f>
        <v>0.29844591796663367</v>
      </c>
      <c r="Y6" s="21">
        <f>'SEI Scenario EST'!EB9</f>
        <v>0.3194554574842669</v>
      </c>
      <c r="Z6" s="21">
        <f>'SEI Scenario EST'!AH9</f>
        <v>1.446763219789741E-2</v>
      </c>
      <c r="AF6" s="80"/>
      <c r="AG6" s="17">
        <v>2025</v>
      </c>
      <c r="AH6" s="49" t="e">
        <f>(X5-#REF!)*'Efficiency Assumptions'!$F$7</f>
        <v>#REF!</v>
      </c>
      <c r="AI6" s="49" t="e">
        <f>(Y5-#REF!)*'Efficiency Assumptions'!$F$8</f>
        <v>#REF!</v>
      </c>
      <c r="AJ6" s="49" t="e">
        <f>(Z5-#REF!)*'Efficiency Assumptions'!$F$6</f>
        <v>#REF!</v>
      </c>
      <c r="AM6" s="80"/>
      <c r="AN6" s="17">
        <v>2026</v>
      </c>
      <c r="AO6" s="21">
        <f>(1-'SEI Scenario EST'!BM9)</f>
        <v>0.99223106453538612</v>
      </c>
      <c r="AP6" s="21">
        <f>(1-'SEI Scenario EST'!ED9)</f>
        <v>0.99497654558724102</v>
      </c>
      <c r="AQ6" s="21">
        <f>(1-'SEI Scenario EST'!AJ9)</f>
        <v>0.98757536510931543</v>
      </c>
      <c r="AR6" s="17">
        <v>2026</v>
      </c>
      <c r="AS6" s="21">
        <f>'SEI Scenario EST'!BM10</f>
        <v>1.0390282385113183E-2</v>
      </c>
      <c r="AT6" s="21">
        <f>'SEI Scenario EST'!ED10</f>
        <v>6.7184378265269552E-3</v>
      </c>
      <c r="AU6" s="21">
        <f>'SEI Scenario EST'!AJ10</f>
        <v>1.66570802014946E-2</v>
      </c>
    </row>
    <row r="7" spans="1:47" ht="15" customHeight="1" x14ac:dyDescent="0.35">
      <c r="A7" s="80"/>
      <c r="B7" s="17">
        <v>2026</v>
      </c>
      <c r="C7" s="21">
        <f t="shared" si="0"/>
        <v>0.32571428571428573</v>
      </c>
      <c r="D7" s="21">
        <f t="shared" si="1"/>
        <v>0.37285714285714294</v>
      </c>
      <c r="E7" s="21">
        <f>E6+($C$11-$C$4)/($B$11-$B$4)</f>
        <v>4.2285714285714288E-2</v>
      </c>
      <c r="H7" s="80"/>
      <c r="I7" s="17">
        <v>2026</v>
      </c>
      <c r="J7" s="21">
        <f t="shared" ref="J7:J20" si="6">J6+($J$21-$J$5)/($B$21-$B$5)</f>
        <v>0.32418749999999996</v>
      </c>
      <c r="K7" s="21">
        <f t="shared" si="2"/>
        <v>0.33387499999999998</v>
      </c>
      <c r="L7" s="21">
        <f t="shared" si="3"/>
        <v>4.2749999999999996E-2</v>
      </c>
      <c r="O7" s="80"/>
      <c r="P7" s="17">
        <v>2026</v>
      </c>
      <c r="Q7" s="21">
        <f t="shared" ref="Q7:Q30" si="7">Q6+($Q$31-$Q$5)/($B$31-$B$5)</f>
        <v>0.3062307692307692</v>
      </c>
      <c r="R7" s="21">
        <f t="shared" si="4"/>
        <v>0.32738461538461539</v>
      </c>
      <c r="S7" s="21">
        <f t="shared" si="5"/>
        <v>3.4384615384615382E-2</v>
      </c>
      <c r="V7" s="80"/>
      <c r="W7" s="17">
        <v>2027</v>
      </c>
      <c r="X7" s="21">
        <f>'SEI Scenario EST'!BK10</f>
        <v>0.30115596804521289</v>
      </c>
      <c r="Y7" s="21">
        <f>'SEI Scenario EST'!EB10</f>
        <v>0.32128402107907256</v>
      </c>
      <c r="Z7" s="21">
        <f>'SEI Scenario EST'!AH10</f>
        <v>1.7426602654265377E-2</v>
      </c>
      <c r="AF7" s="80"/>
      <c r="AG7" s="17">
        <v>2026</v>
      </c>
      <c r="AH7" s="21" t="e">
        <f>(X6-#REF!)*'Efficiency Assumptions'!$F$7</f>
        <v>#REF!</v>
      </c>
      <c r="AI7" s="21" t="e">
        <f>(Y6-#REF!)*'Efficiency Assumptions'!$F$8</f>
        <v>#REF!</v>
      </c>
      <c r="AJ7" s="21" t="e">
        <f>(Z6-#REF!)*'Efficiency Assumptions'!$F$6</f>
        <v>#REF!</v>
      </c>
      <c r="AM7" s="80"/>
      <c r="AN7" s="17">
        <v>2027</v>
      </c>
      <c r="AO7" s="21">
        <f>(1-'SEI Scenario EST'!BM10)</f>
        <v>0.98960971761488681</v>
      </c>
      <c r="AP7" s="21">
        <f>(1-'SEI Scenario EST'!ED10)</f>
        <v>0.99328156217347308</v>
      </c>
      <c r="AQ7" s="21">
        <f>(1-'SEI Scenario EST'!AJ10)</f>
        <v>0.98334291979850541</v>
      </c>
      <c r="AR7" s="17">
        <v>2027</v>
      </c>
      <c r="AS7" s="21">
        <f>'SEI Scenario EST'!BM11</f>
        <v>1.3853014890749148E-2</v>
      </c>
      <c r="AT7" s="21">
        <f>'SEI Scenario EST'!ED11</f>
        <v>8.9574677380084965E-3</v>
      </c>
      <c r="AU7" s="21">
        <f>'SEI Scenario EST'!AJ11</f>
        <v>2.2247892737020273E-2</v>
      </c>
    </row>
    <row r="8" spans="1:47" ht="15" customHeight="1" x14ac:dyDescent="0.35">
      <c r="A8" s="80"/>
      <c r="B8" s="17">
        <v>2027</v>
      </c>
      <c r="C8" s="21">
        <f t="shared" si="0"/>
        <v>0.34428571428571431</v>
      </c>
      <c r="D8" s="21">
        <f t="shared" si="1"/>
        <v>0.34714285714285725</v>
      </c>
      <c r="E8" s="21">
        <f>E7+($C$11-$C$4)/($B$11-$B$4)</f>
        <v>6.085714285714286E-2</v>
      </c>
      <c r="H8" s="80"/>
      <c r="I8" s="17">
        <v>2027</v>
      </c>
      <c r="J8" s="21">
        <f t="shared" si="6"/>
        <v>0.34103124999999995</v>
      </c>
      <c r="K8" s="21">
        <f t="shared" si="2"/>
        <v>0.34431249999999997</v>
      </c>
      <c r="L8" s="21">
        <f t="shared" si="3"/>
        <v>6.1124999999999999E-2</v>
      </c>
      <c r="O8" s="80"/>
      <c r="P8" s="17">
        <v>2027</v>
      </c>
      <c r="Q8" s="21">
        <f t="shared" si="7"/>
        <v>0.3140961538461538</v>
      </c>
      <c r="R8" s="21">
        <f t="shared" si="4"/>
        <v>0.33457692307692311</v>
      </c>
      <c r="S8" s="21">
        <f t="shared" si="5"/>
        <v>4.8576923076923073E-2</v>
      </c>
      <c r="V8" s="80"/>
      <c r="W8" s="17">
        <v>2028</v>
      </c>
      <c r="X8" s="21">
        <f>'SEI Scenario EST'!BK11</f>
        <v>0.30475796156554874</v>
      </c>
      <c r="Y8" s="21">
        <f>'SEI Scenario EST'!EB11</f>
        <v>0.32370909544886228</v>
      </c>
      <c r="Z8" s="21">
        <f>'SEI Scenario EST'!AH11</f>
        <v>2.1374381360206543E-2</v>
      </c>
      <c r="AF8" s="80"/>
      <c r="AG8" s="17">
        <v>2027</v>
      </c>
      <c r="AH8" s="21" t="e">
        <f>(X7-#REF!)*'Efficiency Assumptions'!$F$7</f>
        <v>#REF!</v>
      </c>
      <c r="AI8" s="21" t="e">
        <f>(Y7-#REF!)*'Efficiency Assumptions'!$F$8</f>
        <v>#REF!</v>
      </c>
      <c r="AJ8" s="21" t="e">
        <f>(Z7-#REF!)*'Efficiency Assumptions'!$F$6</f>
        <v>#REF!</v>
      </c>
      <c r="AM8" s="80"/>
      <c r="AN8" s="17">
        <v>2028</v>
      </c>
      <c r="AO8" s="21">
        <f>(1-'SEI Scenario EST'!BM11)</f>
        <v>0.98614698510925081</v>
      </c>
      <c r="AP8" s="21">
        <f>(1-'SEI Scenario EST'!ED11)</f>
        <v>0.99104253226199146</v>
      </c>
      <c r="AQ8" s="21">
        <f>(1-'SEI Scenario EST'!AJ11)</f>
        <v>0.97775210726297968</v>
      </c>
      <c r="AR8" s="17">
        <v>2028</v>
      </c>
      <c r="AS8" s="21">
        <f>'SEI Scenario EST'!BM12</f>
        <v>1.8394407540200303E-2</v>
      </c>
      <c r="AT8" s="21">
        <f>'SEI Scenario EST'!ED12</f>
        <v>1.1893967731973784E-2</v>
      </c>
      <c r="AU8" s="21">
        <f>'SEI Scenario EST'!AJ12</f>
        <v>2.9580034022274517E-2</v>
      </c>
    </row>
    <row r="9" spans="1:47" ht="15" customHeight="1" x14ac:dyDescent="0.35">
      <c r="A9" s="80"/>
      <c r="B9" s="17">
        <v>2028</v>
      </c>
      <c r="C9" s="21">
        <f t="shared" si="0"/>
        <v>0.36285714285714288</v>
      </c>
      <c r="D9" s="21">
        <f t="shared" si="1"/>
        <v>0.32142857142857156</v>
      </c>
      <c r="E9" s="21">
        <f>E8+($C$11-$C$4)/($B$11-$B$4)</f>
        <v>7.9428571428571432E-2</v>
      </c>
      <c r="H9" s="80"/>
      <c r="I9" s="17">
        <v>2028</v>
      </c>
      <c r="J9" s="21">
        <f t="shared" si="6"/>
        <v>0.35787499999999994</v>
      </c>
      <c r="K9" s="21">
        <f t="shared" si="2"/>
        <v>0.35474999999999995</v>
      </c>
      <c r="L9" s="21">
        <f t="shared" si="3"/>
        <v>7.9500000000000001E-2</v>
      </c>
      <c r="O9" s="80"/>
      <c r="P9" s="17">
        <v>2028</v>
      </c>
      <c r="Q9" s="21">
        <f t="shared" si="7"/>
        <v>0.32196153846153841</v>
      </c>
      <c r="R9" s="21">
        <f t="shared" si="4"/>
        <v>0.34176923076923083</v>
      </c>
      <c r="S9" s="21">
        <f t="shared" si="5"/>
        <v>6.2769230769230772E-2</v>
      </c>
      <c r="V9" s="80"/>
      <c r="W9" s="17">
        <v>2029</v>
      </c>
      <c r="X9" s="21">
        <f>'SEI Scenario EST'!BK12</f>
        <v>0.30952051611832676</v>
      </c>
      <c r="Y9" s="21">
        <f>'SEI Scenario EST'!EB12</f>
        <v>0.32690625267366585</v>
      </c>
      <c r="Z9" s="21">
        <f>'SEI Scenario EST'!AH12</f>
        <v>2.662048903458876E-2</v>
      </c>
      <c r="AF9" s="80"/>
      <c r="AG9" s="17">
        <v>2028</v>
      </c>
      <c r="AH9" s="21" t="e">
        <f>(X8-#REF!)*'Efficiency Assumptions'!$F$7</f>
        <v>#REF!</v>
      </c>
      <c r="AI9" s="21" t="e">
        <f>(Y8-#REF!)*'Efficiency Assumptions'!$F$8</f>
        <v>#REF!</v>
      </c>
      <c r="AJ9" s="21" t="e">
        <f>(Z8-#REF!)*'Efficiency Assumptions'!$F$6</f>
        <v>#REF!</v>
      </c>
      <c r="AM9" s="80"/>
      <c r="AN9" s="17">
        <v>2029</v>
      </c>
      <c r="AO9" s="21">
        <f>(1-'SEI Scenario EST'!BM12)</f>
        <v>0.98160559245979973</v>
      </c>
      <c r="AP9" s="21">
        <f>(1-'SEI Scenario EST'!ED12)</f>
        <v>0.98810603226802618</v>
      </c>
      <c r="AQ9" s="21">
        <f>(1-'SEI Scenario EST'!AJ12)</f>
        <v>0.97041996597772551</v>
      </c>
      <c r="AR9" s="17">
        <v>2029</v>
      </c>
      <c r="AS9" s="21">
        <f>'SEI Scenario EST'!BM13</f>
        <v>2.4294599673898475E-2</v>
      </c>
      <c r="AT9" s="21">
        <f>'SEI Scenario EST'!ED13</f>
        <v>1.5709078096212852E-2</v>
      </c>
      <c r="AU9" s="21">
        <f>'SEI Scenario EST'!AJ13</f>
        <v>3.9105572242479333E-2</v>
      </c>
    </row>
    <row r="10" spans="1:47" ht="15" customHeight="1" x14ac:dyDescent="0.35">
      <c r="A10" s="80"/>
      <c r="B10" s="17">
        <v>2029</v>
      </c>
      <c r="C10" s="21">
        <f t="shared" si="0"/>
        <v>0.38142857142857145</v>
      </c>
      <c r="D10" s="21">
        <f t="shared" si="1"/>
        <v>0.29571428571428587</v>
      </c>
      <c r="E10" s="21">
        <f>E9+($C$11-$C$4)/($B$11-$B$4)</f>
        <v>9.8000000000000004E-2</v>
      </c>
      <c r="H10" s="80"/>
      <c r="I10" s="17">
        <v>2029</v>
      </c>
      <c r="J10" s="21">
        <f t="shared" si="6"/>
        <v>0.37471874999999993</v>
      </c>
      <c r="K10" s="21">
        <f t="shared" si="2"/>
        <v>0.36518749999999994</v>
      </c>
      <c r="L10" s="21">
        <f t="shared" si="3"/>
        <v>9.7875000000000004E-2</v>
      </c>
      <c r="O10" s="80"/>
      <c r="P10" s="17">
        <v>2029</v>
      </c>
      <c r="Q10" s="21">
        <f t="shared" si="7"/>
        <v>0.32982692307692302</v>
      </c>
      <c r="R10" s="21">
        <f t="shared" si="4"/>
        <v>0.34896153846153855</v>
      </c>
      <c r="S10" s="21">
        <f t="shared" si="5"/>
        <v>7.696153846153847E-2</v>
      </c>
      <c r="V10" s="80"/>
      <c r="W10" s="17">
        <v>2030</v>
      </c>
      <c r="X10" s="21">
        <f>'SEI Scenario EST'!BK13</f>
        <v>0.31577425879724602</v>
      </c>
      <c r="Y10" s="21">
        <f>'SEI Scenario EST'!EB13</f>
        <v>0.33108850189642047</v>
      </c>
      <c r="Z10" s="21">
        <f>'SEI Scenario EST'!AH13</f>
        <v>3.3555185217709352E-2</v>
      </c>
      <c r="AF10" s="80"/>
      <c r="AG10" s="17">
        <v>2029</v>
      </c>
      <c r="AH10" s="21" t="e">
        <f>(X9-#REF!)*'Efficiency Assumptions'!$F$7</f>
        <v>#REF!</v>
      </c>
      <c r="AI10" s="21" t="e">
        <f>(Y9-#REF!)*'Efficiency Assumptions'!$F$8</f>
        <v>#REF!</v>
      </c>
      <c r="AJ10" s="21" t="e">
        <f>(Z9-#REF!)*'Efficiency Assumptions'!$F$6</f>
        <v>#REF!</v>
      </c>
      <c r="AM10" s="80"/>
      <c r="AN10" s="17">
        <v>2030</v>
      </c>
      <c r="AO10" s="21">
        <f>(1-'SEI Scenario EST'!BM13)</f>
        <v>0.97570540032610154</v>
      </c>
      <c r="AP10" s="21">
        <f>(1-'SEI Scenario EST'!ED13)</f>
        <v>0.9842909219037872</v>
      </c>
      <c r="AQ10" s="21">
        <f>(1-'SEI Scenario EST'!AJ13)</f>
        <v>0.96089442775752065</v>
      </c>
      <c r="AR10" s="17">
        <v>2030</v>
      </c>
      <c r="AS10" s="21">
        <f>'SEI Scenario EST'!BM14</f>
        <v>3.1866991312899912E-2</v>
      </c>
      <c r="AT10" s="21">
        <f>'SEI Scenario EST'!ED14</f>
        <v>2.0605445734654886E-2</v>
      </c>
      <c r="AU10" s="21">
        <f>'SEI Scenario EST'!AJ14</f>
        <v>5.1330123454708609E-2</v>
      </c>
    </row>
    <row r="11" spans="1:47" ht="15" customHeight="1" x14ac:dyDescent="0.35">
      <c r="A11" s="80"/>
      <c r="B11" s="50">
        <v>2030</v>
      </c>
      <c r="C11" s="51">
        <v>0.4</v>
      </c>
      <c r="D11" s="51">
        <v>0.27</v>
      </c>
      <c r="E11" s="52"/>
      <c r="H11" s="80"/>
      <c r="I11" s="17">
        <v>2030</v>
      </c>
      <c r="J11" s="21">
        <f t="shared" si="6"/>
        <v>0.39156249999999992</v>
      </c>
      <c r="K11" s="21">
        <f t="shared" si="2"/>
        <v>0.37562499999999993</v>
      </c>
      <c r="L11" s="21">
        <f t="shared" si="3"/>
        <v>0.11625000000000001</v>
      </c>
      <c r="O11" s="80"/>
      <c r="P11" s="17">
        <v>2030</v>
      </c>
      <c r="Q11" s="21">
        <f t="shared" si="7"/>
        <v>0.33769230769230763</v>
      </c>
      <c r="R11" s="21">
        <f t="shared" si="4"/>
        <v>0.35615384615384627</v>
      </c>
      <c r="S11" s="21">
        <f t="shared" si="5"/>
        <v>9.1153846153846169E-2</v>
      </c>
      <c r="V11" s="80"/>
      <c r="W11" s="17">
        <v>2031</v>
      </c>
      <c r="X11" s="21">
        <f>'SEI Scenario EST'!BK14</f>
        <v>0.32391209448724106</v>
      </c>
      <c r="Y11" s="21">
        <f>'SEI Scenario EST'!EB14</f>
        <v>0.33650380397873481</v>
      </c>
      <c r="Z11" s="21">
        <f>'SEI Scenario EST'!AH14</f>
        <v>4.2658261677739361E-2</v>
      </c>
      <c r="AF11" s="80"/>
      <c r="AG11" s="17">
        <v>2030</v>
      </c>
      <c r="AH11" s="49" t="e">
        <f>(X10-#REF!)*'Efficiency Assumptions'!$F$7</f>
        <v>#REF!</v>
      </c>
      <c r="AI11" s="49" t="e">
        <f>(Y10-#REF!)*'Efficiency Assumptions'!$F$8</f>
        <v>#REF!</v>
      </c>
      <c r="AJ11" s="49" t="e">
        <f>(Z10-#REF!)*'Efficiency Assumptions'!$F$6</f>
        <v>#REF!</v>
      </c>
      <c r="AM11" s="80"/>
      <c r="AN11" s="17">
        <v>2031</v>
      </c>
      <c r="AO11" s="21">
        <f>(1-'SEI Scenario EST'!BM14)</f>
        <v>0.96813300868710006</v>
      </c>
      <c r="AP11" s="21">
        <f>(1-'SEI Scenario EST'!ED14)</f>
        <v>0.97939455426534516</v>
      </c>
      <c r="AQ11" s="21">
        <f>(1-'SEI Scenario EST'!AJ14)</f>
        <v>0.94866987654529145</v>
      </c>
      <c r="AR11" s="17">
        <v>2031</v>
      </c>
      <c r="AS11" s="21">
        <f>'SEI Scenario EST'!BM15</f>
        <v>4.1434448807672844E-2</v>
      </c>
      <c r="AT11" s="21">
        <f>'SEI Scenario EST'!ED15</f>
        <v>2.6791838553839997E-2</v>
      </c>
      <c r="AU11" s="21">
        <f>'SEI Scenario EST'!AJ15</f>
        <v>6.6774374661486419E-2</v>
      </c>
    </row>
    <row r="12" spans="1:47" ht="15" customHeight="1" x14ac:dyDescent="0.35">
      <c r="A12" s="80"/>
      <c r="B12" s="17">
        <v>2031</v>
      </c>
      <c r="C12" s="21">
        <f t="shared" ref="C12:C30" si="8">C11+($C$31-$C$11)/($B$31-$B$11)</f>
        <v>0.40500000000000003</v>
      </c>
      <c r="D12" s="21">
        <f t="shared" ref="D12:D30" si="9">D11+($D$31-$D$11)/($B$31-$B$11)</f>
        <v>0.25650000000000001</v>
      </c>
      <c r="E12" s="21">
        <f t="shared" ref="E12:E30" si="10">E11+($E$31-$E$11)/($B$31-$B$11)</f>
        <v>0</v>
      </c>
      <c r="H12" s="80"/>
      <c r="I12" s="17">
        <v>2031</v>
      </c>
      <c r="J12" s="21">
        <f t="shared" si="6"/>
        <v>0.40840624999999992</v>
      </c>
      <c r="K12" s="21">
        <f t="shared" si="2"/>
        <v>0.38606249999999992</v>
      </c>
      <c r="L12" s="21">
        <f t="shared" si="3"/>
        <v>0.13462499999999999</v>
      </c>
      <c r="O12" s="80"/>
      <c r="P12" s="17">
        <v>2031</v>
      </c>
      <c r="Q12" s="21">
        <f t="shared" si="7"/>
        <v>0.34555769230769223</v>
      </c>
      <c r="R12" s="21">
        <f t="shared" si="4"/>
        <v>0.36334615384615399</v>
      </c>
      <c r="S12" s="21">
        <f t="shared" si="5"/>
        <v>0.10534615384615387</v>
      </c>
      <c r="V12" s="80"/>
      <c r="W12" s="17">
        <v>2032</v>
      </c>
      <c r="X12" s="21">
        <f>'SEI Scenario EST'!BK15</f>
        <v>0.33437781860723914</v>
      </c>
      <c r="Y12" s="21">
        <f>'SEI Scenario EST'!EB15</f>
        <v>0.34342376900327115</v>
      </c>
      <c r="Z12" s="21">
        <f>'SEI Scenario EST'!AH15</f>
        <v>5.4498960166694442E-2</v>
      </c>
      <c r="AF12" s="80"/>
      <c r="AG12" s="17">
        <v>2031</v>
      </c>
      <c r="AH12" s="21" t="e">
        <f>(X11-#REF!)*'Efficiency Assumptions'!$F$7</f>
        <v>#REF!</v>
      </c>
      <c r="AI12" s="21" t="e">
        <f>(Y11-#REF!)*'Efficiency Assumptions'!$F$8</f>
        <v>#REF!</v>
      </c>
      <c r="AJ12" s="21" t="e">
        <f>(Z11-#REF!)*'Efficiency Assumptions'!$F$6</f>
        <v>#REF!</v>
      </c>
      <c r="AM12" s="80"/>
      <c r="AN12" s="17">
        <v>2032</v>
      </c>
      <c r="AO12" s="21">
        <f>(1-'SEI Scenario EST'!BM15)</f>
        <v>0.95856555119232711</v>
      </c>
      <c r="AP12" s="21">
        <f>(1-'SEI Scenario EST'!ED15)</f>
        <v>0.97320816144615996</v>
      </c>
      <c r="AQ12" s="21">
        <f>(1-'SEI Scenario EST'!AJ15)</f>
        <v>0.93322562533851361</v>
      </c>
      <c r="AR12" s="17">
        <v>2032</v>
      </c>
      <c r="AS12" s="21">
        <f>'SEI Scenario EST'!BM16</f>
        <v>5.3286177531835836E-2</v>
      </c>
      <c r="AT12" s="21">
        <f>'SEI Scenario EST'!ED16</f>
        <v>3.4455259009498793E-2</v>
      </c>
      <c r="AU12" s="21">
        <f>'SEI Scenario EST'!AJ16</f>
        <v>8.5904405665802236E-2</v>
      </c>
    </row>
    <row r="13" spans="1:47" ht="15" customHeight="1" x14ac:dyDescent="0.35">
      <c r="A13" s="80"/>
      <c r="B13" s="17">
        <v>2032</v>
      </c>
      <c r="C13" s="21">
        <f t="shared" si="8"/>
        <v>0.41000000000000003</v>
      </c>
      <c r="D13" s="21">
        <f t="shared" si="9"/>
        <v>0.24299999999999999</v>
      </c>
      <c r="E13" s="21">
        <f t="shared" si="10"/>
        <v>0</v>
      </c>
      <c r="H13" s="80"/>
      <c r="I13" s="17">
        <v>2032</v>
      </c>
      <c r="J13" s="21">
        <f t="shared" si="6"/>
        <v>0.42524999999999991</v>
      </c>
      <c r="K13" s="21">
        <f t="shared" si="2"/>
        <v>0.39649999999999991</v>
      </c>
      <c r="L13" s="21">
        <f t="shared" si="3"/>
        <v>0.153</v>
      </c>
      <c r="O13" s="80"/>
      <c r="P13" s="17">
        <v>2032</v>
      </c>
      <c r="Q13" s="21">
        <f t="shared" si="7"/>
        <v>0.35342307692307684</v>
      </c>
      <c r="R13" s="21">
        <f t="shared" si="4"/>
        <v>0.37053846153846171</v>
      </c>
      <c r="S13" s="21">
        <f t="shared" si="5"/>
        <v>0.11953846153846157</v>
      </c>
      <c r="V13" s="80"/>
      <c r="W13" s="17">
        <v>2033</v>
      </c>
      <c r="X13" s="21">
        <f>'SEI Scenario EST'!BK16</f>
        <v>0.34763559692382923</v>
      </c>
      <c r="Y13" s="21">
        <f>'SEI Scenario EST'!EB16</f>
        <v>0.35211886422465716</v>
      </c>
      <c r="Z13" s="21">
        <f>'SEI Scenario EST'!AH16</f>
        <v>6.9718751451738656E-2</v>
      </c>
      <c r="AF13" s="80"/>
      <c r="AG13" s="17">
        <v>2032</v>
      </c>
      <c r="AH13" s="21" t="e">
        <f>(X12-#REF!)*'Efficiency Assumptions'!$F$7</f>
        <v>#REF!</v>
      </c>
      <c r="AI13" s="21" t="e">
        <f>(Y12-#REF!)*'Efficiency Assumptions'!$F$8</f>
        <v>#REF!</v>
      </c>
      <c r="AJ13" s="21" t="e">
        <f>(Z12-#REF!)*'Efficiency Assumptions'!$F$6</f>
        <v>#REF!</v>
      </c>
      <c r="AM13" s="80"/>
      <c r="AN13" s="17">
        <v>2033</v>
      </c>
      <c r="AO13" s="21">
        <f>(1-'SEI Scenario EST'!BM16)</f>
        <v>0.94671382246816416</v>
      </c>
      <c r="AP13" s="21">
        <f>(1-'SEI Scenario EST'!ED16)</f>
        <v>0.96554474099050125</v>
      </c>
      <c r="AQ13" s="21">
        <f>(1-'SEI Scenario EST'!AJ16)</f>
        <v>0.91409559433419774</v>
      </c>
      <c r="AR13" s="17">
        <v>2033</v>
      </c>
      <c r="AS13" s="21">
        <f>'SEI Scenario EST'!BM17</f>
        <v>6.761350727316226E-2</v>
      </c>
      <c r="AT13" s="21">
        <f>'SEI Scenario EST'!ED17</f>
        <v>4.3719422438316377E-2</v>
      </c>
      <c r="AU13" s="21">
        <f>'SEI Scenario EST'!AJ17</f>
        <v>0.10902801648372018</v>
      </c>
    </row>
    <row r="14" spans="1:47" ht="15" customHeight="1" x14ac:dyDescent="0.35">
      <c r="A14" s="80"/>
      <c r="B14" s="17">
        <v>2033</v>
      </c>
      <c r="C14" s="21">
        <f t="shared" si="8"/>
        <v>0.41500000000000004</v>
      </c>
      <c r="D14" s="21">
        <f t="shared" si="9"/>
        <v>0.22949999999999998</v>
      </c>
      <c r="E14" s="21">
        <f t="shared" si="10"/>
        <v>0</v>
      </c>
      <c r="H14" s="80"/>
      <c r="I14" s="17">
        <v>2033</v>
      </c>
      <c r="J14" s="21">
        <f t="shared" si="6"/>
        <v>0.4420937499999999</v>
      </c>
      <c r="K14" s="21">
        <f t="shared" si="2"/>
        <v>0.4069374999999999</v>
      </c>
      <c r="L14" s="21">
        <f t="shared" si="3"/>
        <v>0.171375</v>
      </c>
      <c r="O14" s="80"/>
      <c r="P14" s="17">
        <v>2033</v>
      </c>
      <c r="Q14" s="21">
        <f t="shared" si="7"/>
        <v>0.36128846153846145</v>
      </c>
      <c r="R14" s="21">
        <f t="shared" si="4"/>
        <v>0.37773076923076943</v>
      </c>
      <c r="S14" s="21">
        <f t="shared" si="5"/>
        <v>0.13373076923076926</v>
      </c>
      <c r="V14" s="80"/>
      <c r="W14" s="17">
        <v>2034</v>
      </c>
      <c r="X14" s="21">
        <f>'SEI Scenario EST'!BK17</f>
        <v>0.36411267314776413</v>
      </c>
      <c r="Y14" s="21">
        <f>'SEI Scenario EST'!EB17</f>
        <v>0.36281626590237592</v>
      </c>
      <c r="Z14" s="21">
        <f>'SEI Scenario EST'!AH17</f>
        <v>8.8986155056844513E-2</v>
      </c>
      <c r="AF14" s="80"/>
      <c r="AG14" s="17">
        <v>2033</v>
      </c>
      <c r="AH14" s="21" t="e">
        <f>(X13-#REF!)*'Efficiency Assumptions'!$F$7</f>
        <v>#REF!</v>
      </c>
      <c r="AI14" s="21" t="e">
        <f>(Y13-#REF!)*'Efficiency Assumptions'!$F$8</f>
        <v>#REF!</v>
      </c>
      <c r="AJ14" s="21" t="e">
        <f>(Z13-#REF!)*'Efficiency Assumptions'!$F$6</f>
        <v>#REF!</v>
      </c>
      <c r="AM14" s="80"/>
      <c r="AN14" s="17">
        <v>2034</v>
      </c>
      <c r="AO14" s="21">
        <f>(1-'SEI Scenario EST'!BM17)</f>
        <v>0.93238649272683771</v>
      </c>
      <c r="AP14" s="21">
        <f>(1-'SEI Scenario EST'!ED17)</f>
        <v>0.95628057756168361</v>
      </c>
      <c r="AQ14" s="21">
        <f>(1-'SEI Scenario EST'!AJ17)</f>
        <v>0.89097198351627982</v>
      </c>
      <c r="AR14" s="17">
        <v>2034</v>
      </c>
      <c r="AS14" s="21">
        <f>'SEI Scenario EST'!BM18</f>
        <v>8.4431146461385803E-2</v>
      </c>
      <c r="AT14" s="21">
        <f>'SEI Scenario EST'!ED18</f>
        <v>5.4593839425955311E-2</v>
      </c>
      <c r="AU14" s="21">
        <f>'SEI Scenario EST'!AJ18</f>
        <v>0.13616769867338943</v>
      </c>
    </row>
    <row r="15" spans="1:47" ht="15" customHeight="1" x14ac:dyDescent="0.35">
      <c r="A15" s="80"/>
      <c r="B15" s="17">
        <v>2034</v>
      </c>
      <c r="C15" s="21">
        <f t="shared" si="8"/>
        <v>0.42000000000000004</v>
      </c>
      <c r="D15" s="21">
        <f t="shared" si="9"/>
        <v>0.21599999999999997</v>
      </c>
      <c r="E15" s="21">
        <f t="shared" si="10"/>
        <v>0</v>
      </c>
      <c r="H15" s="80"/>
      <c r="I15" s="17">
        <v>2034</v>
      </c>
      <c r="J15" s="21">
        <f t="shared" si="6"/>
        <v>0.45893749999999989</v>
      </c>
      <c r="K15" s="21">
        <f t="shared" si="2"/>
        <v>0.41737499999999988</v>
      </c>
      <c r="L15" s="21">
        <f t="shared" si="3"/>
        <v>0.18975</v>
      </c>
      <c r="O15" s="80"/>
      <c r="P15" s="17">
        <v>2034</v>
      </c>
      <c r="Q15" s="21">
        <f t="shared" si="7"/>
        <v>0.36915384615384605</v>
      </c>
      <c r="R15" s="21">
        <f t="shared" si="4"/>
        <v>0.38492307692307715</v>
      </c>
      <c r="S15" s="21">
        <f t="shared" si="5"/>
        <v>0.14792307692307696</v>
      </c>
      <c r="V15" s="80"/>
      <c r="W15" s="17">
        <v>2035</v>
      </c>
      <c r="X15" s="21">
        <f>'SEI Scenario EST'!BK18</f>
        <v>0.38411164334622133</v>
      </c>
      <c r="Y15" s="21">
        <f>'SEI Scenario EST'!EB18</f>
        <v>0.37564051817684257</v>
      </c>
      <c r="Z15" s="21">
        <f>'SEI Scenario EST'!AH18</f>
        <v>0.11291269872038087</v>
      </c>
      <c r="AF15" s="80"/>
      <c r="AG15" s="17">
        <v>2034</v>
      </c>
      <c r="AH15" s="21" t="e">
        <f>(X14-#REF!)*'Efficiency Assumptions'!$F$7</f>
        <v>#REF!</v>
      </c>
      <c r="AI15" s="21" t="e">
        <f>(Y14-#REF!)*'Efficiency Assumptions'!$F$8</f>
        <v>#REF!</v>
      </c>
      <c r="AJ15" s="21" t="e">
        <f>(Z14-#REF!)*'Efficiency Assumptions'!$F$6</f>
        <v>#REF!</v>
      </c>
      <c r="AM15" s="80"/>
      <c r="AN15" s="17">
        <v>2035</v>
      </c>
      <c r="AO15" s="21">
        <f>(1-'SEI Scenario EST'!BM18)</f>
        <v>0.91556885353861417</v>
      </c>
      <c r="AP15" s="21">
        <f>(1-'SEI Scenario EST'!ED18)</f>
        <v>0.9454061605740447</v>
      </c>
      <c r="AQ15" s="21">
        <f>(1-'SEI Scenario EST'!AJ18)</f>
        <v>0.8638323013266106</v>
      </c>
      <c r="AR15" s="17">
        <v>2035</v>
      </c>
      <c r="AS15" s="21">
        <f>'SEI Scenario EST'!BM19</f>
        <v>0.1035031753220097</v>
      </c>
      <c r="AT15" s="21">
        <f>'SEI Scenario EST'!ED19</f>
        <v>6.6925962401690159E-2</v>
      </c>
      <c r="AU15" s="21">
        <f>'SEI Scenario EST'!AJ19</f>
        <v>0.16694140212593628</v>
      </c>
    </row>
    <row r="16" spans="1:47" ht="15" customHeight="1" x14ac:dyDescent="0.35">
      <c r="A16" s="80"/>
      <c r="B16" s="17">
        <v>2035</v>
      </c>
      <c r="C16" s="21">
        <f t="shared" si="8"/>
        <v>0.42500000000000004</v>
      </c>
      <c r="D16" s="21">
        <f t="shared" si="9"/>
        <v>0.20249999999999996</v>
      </c>
      <c r="E16" s="21">
        <f t="shared" si="10"/>
        <v>0</v>
      </c>
      <c r="H16" s="80"/>
      <c r="I16" s="17">
        <v>2035</v>
      </c>
      <c r="J16" s="21">
        <f t="shared" si="6"/>
        <v>0.47578124999999988</v>
      </c>
      <c r="K16" s="21">
        <f t="shared" si="2"/>
        <v>0.42781249999999987</v>
      </c>
      <c r="L16" s="21">
        <f t="shared" si="3"/>
        <v>0.208125</v>
      </c>
      <c r="O16" s="80"/>
      <c r="P16" s="17">
        <v>2035</v>
      </c>
      <c r="Q16" s="21">
        <f t="shared" si="7"/>
        <v>0.37701923076923066</v>
      </c>
      <c r="R16" s="21">
        <f t="shared" si="4"/>
        <v>0.39211538461538487</v>
      </c>
      <c r="S16" s="21">
        <f t="shared" si="5"/>
        <v>0.16211538461538466</v>
      </c>
      <c r="V16" s="80"/>
      <c r="W16" s="17">
        <v>2036</v>
      </c>
      <c r="X16" s="21">
        <f>'SEI Scenario EST'!BK19</f>
        <v>0.40769940417048112</v>
      </c>
      <c r="Y16" s="21">
        <f>'SEI Scenario EST'!EB19</f>
        <v>0.39054555821202569</v>
      </c>
      <c r="Z16" s="21">
        <f>'SEI Scenario EST'!AH19</f>
        <v>0.14192513159814646</v>
      </c>
      <c r="AF16" s="80"/>
      <c r="AG16" s="17">
        <v>2035</v>
      </c>
      <c r="AH16" s="49" t="e">
        <f>(X15-#REF!)*'Efficiency Assumptions'!$F$7</f>
        <v>#REF!</v>
      </c>
      <c r="AI16" s="49" t="e">
        <f>(Y15-#REF!)*'Efficiency Assumptions'!$F$8</f>
        <v>#REF!</v>
      </c>
      <c r="AJ16" s="49" t="e">
        <f>(Z15-#REF!)*'Efficiency Assumptions'!$F$6</f>
        <v>#REF!</v>
      </c>
      <c r="AM16" s="80"/>
      <c r="AN16" s="17">
        <v>2036</v>
      </c>
      <c r="AO16" s="21">
        <f>(1-'SEI Scenario EST'!BM19)</f>
        <v>0.8964968246779903</v>
      </c>
      <c r="AP16" s="21">
        <f>(1-'SEI Scenario EST'!ED19)</f>
        <v>0.93307403759830987</v>
      </c>
      <c r="AQ16" s="21">
        <f>(1-'SEI Scenario EST'!AJ19)</f>
        <v>0.83305859787406367</v>
      </c>
      <c r="AR16" s="17">
        <v>2036</v>
      </c>
      <c r="AS16" s="21">
        <f>'SEI Scenario EST'!BM20</f>
        <v>0.12430459908256031</v>
      </c>
      <c r="AT16" s="21">
        <f>'SEI Scenario EST'!ED20</f>
        <v>8.037632564097319E-2</v>
      </c>
      <c r="AU16" s="21">
        <f>'SEI Scenario EST'!AJ20</f>
        <v>0.20050083472596922</v>
      </c>
    </row>
    <row r="17" spans="1:47" ht="15" customHeight="1" x14ac:dyDescent="0.35">
      <c r="A17" s="80"/>
      <c r="B17" s="17">
        <v>2036</v>
      </c>
      <c r="C17" s="21">
        <f t="shared" si="8"/>
        <v>0.43000000000000005</v>
      </c>
      <c r="D17" s="21">
        <f t="shared" si="9"/>
        <v>0.18899999999999995</v>
      </c>
      <c r="E17" s="21">
        <f t="shared" si="10"/>
        <v>0</v>
      </c>
      <c r="H17" s="80"/>
      <c r="I17" s="17">
        <v>2036</v>
      </c>
      <c r="J17" s="21">
        <f t="shared" si="6"/>
        <v>0.49262499999999987</v>
      </c>
      <c r="K17" s="21">
        <f t="shared" si="2"/>
        <v>0.43824999999999986</v>
      </c>
      <c r="L17" s="21">
        <f t="shared" si="3"/>
        <v>0.22650000000000001</v>
      </c>
      <c r="O17" s="80"/>
      <c r="P17" s="17">
        <v>2036</v>
      </c>
      <c r="Q17" s="21">
        <f t="shared" si="7"/>
        <v>0.38488461538461527</v>
      </c>
      <c r="R17" s="21">
        <f t="shared" si="4"/>
        <v>0.39930769230769259</v>
      </c>
      <c r="S17" s="21">
        <f t="shared" si="5"/>
        <v>0.17630769230769236</v>
      </c>
      <c r="V17" s="80"/>
      <c r="W17" s="17">
        <v>2037</v>
      </c>
      <c r="X17" s="21">
        <f>'SEI Scenario EST'!BK20</f>
        <v>0.43459745580297221</v>
      </c>
      <c r="Y17" s="21">
        <f>'SEI Scenario EST'!EB20</f>
        <v>0.40725791112498305</v>
      </c>
      <c r="Z17" s="21">
        <f>'SEI Scenario EST'!AH20</f>
        <v>0.17610486748658319</v>
      </c>
      <c r="AF17" s="80"/>
      <c r="AG17" s="17">
        <v>2036</v>
      </c>
      <c r="AH17" s="21" t="e">
        <f>(X16-#REF!)*'Efficiency Assumptions'!$F$7</f>
        <v>#REF!</v>
      </c>
      <c r="AI17" s="21" t="e">
        <f>(Y16-#REF!)*'Efficiency Assumptions'!$F$8</f>
        <v>#REF!</v>
      </c>
      <c r="AJ17" s="21" t="e">
        <f>(Z16-#REF!)*'Efficiency Assumptions'!$F$6</f>
        <v>#REF!</v>
      </c>
      <c r="AM17" s="80"/>
      <c r="AN17" s="17">
        <v>2037</v>
      </c>
      <c r="AO17" s="21">
        <f>(1-'SEI Scenario EST'!BM20)</f>
        <v>0.87569540091743969</v>
      </c>
      <c r="AP17" s="21">
        <f>(1-'SEI Scenario EST'!ED20)</f>
        <v>0.91962367435902681</v>
      </c>
      <c r="AQ17" s="21">
        <f>(1-'SEI Scenario EST'!AJ20)</f>
        <v>0.79949916527403075</v>
      </c>
      <c r="AR17" s="17">
        <v>2037</v>
      </c>
      <c r="AS17" s="21">
        <f>'SEI Scenario EST'!BM21</f>
        <v>0.1460491284881793</v>
      </c>
      <c r="AT17" s="21">
        <f>'SEI Scenario EST'!ED21</f>
        <v>9.4436508364019081E-2</v>
      </c>
      <c r="AU17" s="21">
        <f>'SEI Scenario EST'!AJ21</f>
        <v>0.23557668337465579</v>
      </c>
    </row>
    <row r="18" spans="1:47" ht="15" customHeight="1" x14ac:dyDescent="0.35">
      <c r="A18" s="80"/>
      <c r="B18" s="17">
        <v>2037</v>
      </c>
      <c r="C18" s="21">
        <f t="shared" si="8"/>
        <v>0.43500000000000005</v>
      </c>
      <c r="D18" s="21">
        <f t="shared" si="9"/>
        <v>0.17549999999999993</v>
      </c>
      <c r="E18" s="21">
        <f t="shared" si="10"/>
        <v>0</v>
      </c>
      <c r="H18" s="80"/>
      <c r="I18" s="17">
        <v>2037</v>
      </c>
      <c r="J18" s="21">
        <f t="shared" si="6"/>
        <v>0.50946874999999991</v>
      </c>
      <c r="K18" s="21">
        <f t="shared" si="2"/>
        <v>0.44868749999999985</v>
      </c>
      <c r="L18" s="21">
        <f t="shared" si="3"/>
        <v>0.24487500000000001</v>
      </c>
      <c r="O18" s="80"/>
      <c r="P18" s="17">
        <v>2037</v>
      </c>
      <c r="Q18" s="21">
        <f t="shared" si="7"/>
        <v>0.39274999999999988</v>
      </c>
      <c r="R18" s="21">
        <f t="shared" si="4"/>
        <v>0.40650000000000031</v>
      </c>
      <c r="S18" s="21">
        <f t="shared" si="5"/>
        <v>0.19050000000000006</v>
      </c>
      <c r="V18" s="80"/>
      <c r="W18" s="17">
        <v>2038</v>
      </c>
      <c r="X18" s="21">
        <f>'SEI Scenario EST'!BK21</f>
        <v>0.46411591226196791</v>
      </c>
      <c r="Y18" s="21">
        <f>'SEI Scenario EST'!EB21</f>
        <v>0.42525870877318661</v>
      </c>
      <c r="Z18" s="21">
        <f>'SEI Scenario EST'!AH21</f>
        <v>0.21503112721208587</v>
      </c>
      <c r="AF18" s="80"/>
      <c r="AG18" s="17">
        <v>2037</v>
      </c>
      <c r="AH18" s="21" t="e">
        <f>(X17-#REF!)*'Efficiency Assumptions'!$F$7</f>
        <v>#REF!</v>
      </c>
      <c r="AI18" s="21" t="e">
        <f>(Y17-#REF!)*'Efficiency Assumptions'!$F$8</f>
        <v>#REF!</v>
      </c>
      <c r="AJ18" s="21" t="e">
        <f>(Z17-#REF!)*'Efficiency Assumptions'!$F$6</f>
        <v>#REF!</v>
      </c>
      <c r="AM18" s="80"/>
      <c r="AN18" s="17">
        <v>2038</v>
      </c>
      <c r="AO18" s="21">
        <f>(1-'SEI Scenario EST'!BM21)</f>
        <v>0.8539508715118207</v>
      </c>
      <c r="AP18" s="21">
        <f>(1-'SEI Scenario EST'!ED21)</f>
        <v>0.90556349163598093</v>
      </c>
      <c r="AQ18" s="21">
        <f>(1-'SEI Scenario EST'!AJ21)</f>
        <v>0.76442331662534424</v>
      </c>
      <c r="AR18" s="17">
        <v>2038</v>
      </c>
      <c r="AS18" s="21">
        <f>'SEI Scenario EST'!BM22</f>
        <v>0.16779365789379819</v>
      </c>
      <c r="AT18" s="21">
        <f>'SEI Scenario EST'!ED22</f>
        <v>0.10849669108706457</v>
      </c>
      <c r="AU18" s="21">
        <f>'SEI Scenario EST'!AJ22</f>
        <v>0.27064747031398401</v>
      </c>
    </row>
    <row r="19" spans="1:47" ht="15" customHeight="1" x14ac:dyDescent="0.35">
      <c r="A19" s="80"/>
      <c r="B19" s="17">
        <v>2038</v>
      </c>
      <c r="C19" s="21">
        <f t="shared" si="8"/>
        <v>0.44000000000000006</v>
      </c>
      <c r="D19" s="21">
        <f t="shared" si="9"/>
        <v>0.16199999999999992</v>
      </c>
      <c r="E19" s="21">
        <f t="shared" si="10"/>
        <v>0</v>
      </c>
      <c r="H19" s="80"/>
      <c r="I19" s="17">
        <v>2038</v>
      </c>
      <c r="J19" s="21">
        <f t="shared" si="6"/>
        <v>0.52631249999999996</v>
      </c>
      <c r="K19" s="21">
        <f t="shared" si="2"/>
        <v>0.45912499999999984</v>
      </c>
      <c r="L19" s="21">
        <f t="shared" si="3"/>
        <v>0.26324999999999998</v>
      </c>
      <c r="O19" s="80"/>
      <c r="P19" s="17">
        <v>2038</v>
      </c>
      <c r="Q19" s="21">
        <f t="shared" si="7"/>
        <v>0.40061538461538448</v>
      </c>
      <c r="R19" s="21">
        <f t="shared" si="4"/>
        <v>0.41369230769230803</v>
      </c>
      <c r="S19" s="21">
        <f t="shared" si="5"/>
        <v>0.20469230769230776</v>
      </c>
      <c r="V19" s="80"/>
      <c r="W19" s="17">
        <v>2039</v>
      </c>
      <c r="X19" s="21">
        <f>'SEI Scenario EST'!BK22</f>
        <v>0.49517693073234337</v>
      </c>
      <c r="Y19" s="21">
        <f>'SEI Scenario EST'!EB22</f>
        <v>0.443827299051129</v>
      </c>
      <c r="Z19" s="21">
        <f>'SEI Scenario EST'!AH22</f>
        <v>0.25768933493321905</v>
      </c>
      <c r="AF19" s="80"/>
      <c r="AG19" s="17">
        <v>2038</v>
      </c>
      <c r="AH19" s="21" t="e">
        <f>(X18-#REF!)*'Efficiency Assumptions'!$F$7</f>
        <v>#REF!</v>
      </c>
      <c r="AI19" s="21" t="e">
        <f>(Y18-#REF!)*'Efficiency Assumptions'!$F$8</f>
        <v>#REF!</v>
      </c>
      <c r="AJ19" s="21" t="e">
        <f>(Z18-#REF!)*'Efficiency Assumptions'!$F$6</f>
        <v>#REF!</v>
      </c>
      <c r="AM19" s="80"/>
      <c r="AN19" s="17">
        <v>2039</v>
      </c>
      <c r="AO19" s="21">
        <f>(1-'SEI Scenario EST'!BM22)</f>
        <v>0.83220634210620181</v>
      </c>
      <c r="AP19" s="21">
        <f>(1-'SEI Scenario EST'!ED22)</f>
        <v>0.89150330891293539</v>
      </c>
      <c r="AQ19" s="21">
        <f>(1-'SEI Scenario EST'!AJ22)</f>
        <v>0.72935252968601594</v>
      </c>
      <c r="AR19" s="17">
        <v>2039</v>
      </c>
      <c r="AS19" s="21">
        <f>'SEI Scenario EST'!BM23</f>
        <v>0.18859508165434874</v>
      </c>
      <c r="AT19" s="21">
        <f>'SEI Scenario EST'!ED23</f>
        <v>0.12194705432634767</v>
      </c>
      <c r="AU19" s="21">
        <f>'SEI Scenario EST'!AJ23</f>
        <v>0.30419257960004309</v>
      </c>
    </row>
    <row r="20" spans="1:47" ht="15" customHeight="1" x14ac:dyDescent="0.35">
      <c r="A20" s="80"/>
      <c r="B20" s="17">
        <v>2039</v>
      </c>
      <c r="C20" s="21">
        <f t="shared" si="8"/>
        <v>0.44500000000000006</v>
      </c>
      <c r="D20" s="21">
        <f t="shared" si="9"/>
        <v>0.14849999999999991</v>
      </c>
      <c r="E20" s="21">
        <f t="shared" si="10"/>
        <v>0</v>
      </c>
      <c r="H20" s="80"/>
      <c r="I20" s="17">
        <v>2039</v>
      </c>
      <c r="J20" s="21">
        <f t="shared" si="6"/>
        <v>0.54315625000000001</v>
      </c>
      <c r="K20" s="21">
        <f t="shared" si="2"/>
        <v>0.46956249999999983</v>
      </c>
      <c r="L20" s="21">
        <f t="shared" si="3"/>
        <v>0.28162499999999996</v>
      </c>
      <c r="O20" s="80"/>
      <c r="P20" s="17">
        <v>2039</v>
      </c>
      <c r="Q20" s="21">
        <f t="shared" si="7"/>
        <v>0.40848076923076909</v>
      </c>
      <c r="R20" s="21">
        <f t="shared" si="4"/>
        <v>0.42088461538461575</v>
      </c>
      <c r="S20" s="21">
        <f t="shared" si="5"/>
        <v>0.21888461538461546</v>
      </c>
      <c r="V20" s="80"/>
      <c r="W20" s="17">
        <v>2040</v>
      </c>
      <c r="X20" s="21">
        <f>'SEI Scenario EST'!BK23</f>
        <v>0.52644881069516736</v>
      </c>
      <c r="Y20" s="21">
        <f>'SEI Scenario EST'!EB23</f>
        <v>0.4621470760538301</v>
      </c>
      <c r="Z20" s="21">
        <f>'SEI Scenario EST'!AH23</f>
        <v>0.30251005568366718</v>
      </c>
      <c r="AF20" s="80"/>
      <c r="AG20" s="17">
        <v>2039</v>
      </c>
      <c r="AH20" s="21" t="e">
        <f>(X19-#REF!)*'Efficiency Assumptions'!$F$7</f>
        <v>#REF!</v>
      </c>
      <c r="AI20" s="21" t="e">
        <f>(Y19-#REF!)*'Efficiency Assumptions'!$F$8</f>
        <v>#REF!</v>
      </c>
      <c r="AJ20" s="21" t="e">
        <f>(Z19-#REF!)*'Efficiency Assumptions'!$F$6</f>
        <v>#REF!</v>
      </c>
      <c r="AM20" s="80"/>
      <c r="AN20" s="17">
        <v>2040</v>
      </c>
      <c r="AO20" s="21">
        <f>(1-'SEI Scenario EST'!BM23)</f>
        <v>0.81140491834565132</v>
      </c>
      <c r="AP20" s="21">
        <f>(1-'SEI Scenario EST'!ED23)</f>
        <v>0.87805294567365233</v>
      </c>
      <c r="AQ20" s="21">
        <f>(1-'SEI Scenario EST'!AJ23)</f>
        <v>0.69580742039995691</v>
      </c>
      <c r="AR20" s="17">
        <v>2040</v>
      </c>
      <c r="AS20" s="21">
        <f>'SEI Scenario EST'!BM24</f>
        <v>0.20766711051497258</v>
      </c>
      <c r="AT20" s="21">
        <f>'SEI Scenario EST'!ED24</f>
        <v>0.13427917730208253</v>
      </c>
      <c r="AU20" s="21">
        <f>'SEI Scenario EST'!AJ24</f>
        <v>0.3349449870784037</v>
      </c>
    </row>
    <row r="21" spans="1:47" ht="15" customHeight="1" x14ac:dyDescent="0.35">
      <c r="A21" s="80"/>
      <c r="B21" s="17">
        <v>2040</v>
      </c>
      <c r="C21" s="21">
        <f t="shared" si="8"/>
        <v>0.45000000000000007</v>
      </c>
      <c r="D21" s="21">
        <f t="shared" si="9"/>
        <v>0.1349999999999999</v>
      </c>
      <c r="E21" s="21">
        <f t="shared" si="10"/>
        <v>0</v>
      </c>
      <c r="H21" s="80"/>
      <c r="I21" s="17">
        <v>2040</v>
      </c>
      <c r="J21" s="44">
        <v>0.56000000000000005</v>
      </c>
      <c r="K21" s="44">
        <v>0.48</v>
      </c>
      <c r="L21" s="44">
        <v>0.3</v>
      </c>
      <c r="O21" s="80"/>
      <c r="P21" s="17">
        <v>2040</v>
      </c>
      <c r="Q21" s="21">
        <f t="shared" si="7"/>
        <v>0.4163461538461537</v>
      </c>
      <c r="R21" s="21">
        <f t="shared" si="4"/>
        <v>0.42807692307692347</v>
      </c>
      <c r="S21" s="21">
        <f t="shared" si="5"/>
        <v>0.23307692307692315</v>
      </c>
      <c r="V21" s="80"/>
      <c r="W21" s="17">
        <v>2041</v>
      </c>
      <c r="X21" s="21">
        <f>'SEI Scenario EST'!BK24</f>
        <v>0.55656369240775128</v>
      </c>
      <c r="Y21" s="21">
        <f>'SEI Scenario EST'!EB24</f>
        <v>0.4794440094341243</v>
      </c>
      <c r="Z21" s="21">
        <f>'SEI Scenario EST'!AH24</f>
        <v>0.34756716116350567</v>
      </c>
      <c r="AF21" s="80"/>
      <c r="AG21" s="17">
        <v>2040</v>
      </c>
      <c r="AH21" s="49" t="e">
        <f>(X20-#REF!)*'Efficiency Assumptions'!$F$7</f>
        <v>#REF!</v>
      </c>
      <c r="AI21" s="49" t="e">
        <f>(Y20-#REF!)*'Efficiency Assumptions'!$F$8</f>
        <v>#REF!</v>
      </c>
      <c r="AJ21" s="49" t="e">
        <f>(Z20-#REF!)*'Efficiency Assumptions'!$F$6</f>
        <v>#REF!</v>
      </c>
      <c r="AM21" s="80"/>
      <c r="AN21" s="17">
        <v>2041</v>
      </c>
      <c r="AO21" s="21">
        <f>(1-'SEI Scenario EST'!BM24)</f>
        <v>0.79233288948502745</v>
      </c>
      <c r="AP21" s="21">
        <f>(1-'SEI Scenario EST'!ED24)</f>
        <v>0.8657208226979175</v>
      </c>
      <c r="AQ21" s="21">
        <f>(1-'SEI Scenario EST'!AJ24)</f>
        <v>0.6650550129215963</v>
      </c>
      <c r="AR21" s="17">
        <v>2041</v>
      </c>
      <c r="AS21" s="21">
        <f>'SEI Scenario EST'!BM25</f>
        <v>0.22448474970319629</v>
      </c>
      <c r="AT21" s="21">
        <f>'SEI Scenario EST'!ED25</f>
        <v>0.14515359428972141</v>
      </c>
      <c r="AU21" s="21">
        <f>'SEI Scenario EST'!AJ25</f>
        <v>0.36205939151359973</v>
      </c>
    </row>
    <row r="22" spans="1:47" ht="15" hidden="1" customHeight="1" x14ac:dyDescent="0.35">
      <c r="A22" s="80"/>
      <c r="B22" s="17">
        <v>2041</v>
      </c>
      <c r="C22" s="21">
        <f t="shared" si="8"/>
        <v>0.45500000000000007</v>
      </c>
      <c r="D22" s="21">
        <f t="shared" si="9"/>
        <v>0.1214999999999999</v>
      </c>
      <c r="E22" s="21">
        <f t="shared" si="10"/>
        <v>0</v>
      </c>
      <c r="H22" s="80"/>
      <c r="I22" s="17">
        <v>2041</v>
      </c>
      <c r="J22" s="21">
        <f t="shared" ref="J22:J30" si="11">J21+($J$31-$J$21)/($B$31-$B$21)</f>
        <v>0.56400000000000006</v>
      </c>
      <c r="K22" s="21">
        <f t="shared" ref="K22:K30" si="12">K21+($K$31-$K$21)/($B$31-$B$21)</f>
        <v>0.49399999999999999</v>
      </c>
      <c r="L22" s="21">
        <f t="shared" ref="L22:L30" si="13">L21+($L$31-$L$21)/($B$31-$B$21)</f>
        <v>0.32999999999999996</v>
      </c>
      <c r="O22" s="80"/>
      <c r="P22" s="17">
        <v>2041</v>
      </c>
      <c r="Q22" s="21">
        <f t="shared" si="7"/>
        <v>0.42421153846153831</v>
      </c>
      <c r="R22" s="21">
        <f t="shared" si="4"/>
        <v>0.43526923076923119</v>
      </c>
      <c r="S22" s="21">
        <f t="shared" si="5"/>
        <v>0.24726923076923085</v>
      </c>
      <c r="V22" s="80"/>
      <c r="W22" s="17">
        <v>2042</v>
      </c>
      <c r="X22" s="21">
        <f>'SEI Scenario EST'!BK25</f>
        <v>0.58434780885372473</v>
      </c>
      <c r="Y22" s="21">
        <f>'SEI Scenario EST'!EB25</f>
        <v>0.49511043293554902</v>
      </c>
      <c r="Z22" s="21">
        <f>'SEI Scenario EST'!AH25</f>
        <v>0.39089380844275179</v>
      </c>
      <c r="AF22" s="80"/>
      <c r="AG22" s="17">
        <v>2041</v>
      </c>
      <c r="AH22" s="21" t="e">
        <f>(X21-#REF!)*'Efficiency Assumptions'!$F$7</f>
        <v>#REF!</v>
      </c>
      <c r="AI22" s="21" t="e">
        <f>(Y21-#REF!)*'Efficiency Assumptions'!$F$8</f>
        <v>#REF!</v>
      </c>
      <c r="AJ22" s="21" t="e">
        <f>(Z21-#REF!)*'Efficiency Assumptions'!$F$6</f>
        <v>#REF!</v>
      </c>
      <c r="AM22" s="80"/>
      <c r="AN22" s="17">
        <v>2042</v>
      </c>
      <c r="AO22" s="21">
        <f>(1-'SEI Scenario EST'!BM25)</f>
        <v>0.77551525029680368</v>
      </c>
      <c r="AP22" s="21">
        <f>(1-'SEI Scenario EST'!ED25)</f>
        <v>0.85484640571027859</v>
      </c>
      <c r="AQ22" s="21">
        <f>(1-'SEI Scenario EST'!AJ25)</f>
        <v>0.63794060848640033</v>
      </c>
      <c r="AR22" s="17">
        <v>2042</v>
      </c>
      <c r="AS22" s="21">
        <f>'SEI Scenario EST'!BM26</f>
        <v>0.23881207944452251</v>
      </c>
      <c r="AT22" s="21">
        <f>'SEI Scenario EST'!ED26</f>
        <v>0.15441775771853886</v>
      </c>
      <c r="AU22" s="21">
        <f>'SEI Scenario EST'!AJ26</f>
        <v>0.38515664544699035</v>
      </c>
    </row>
    <row r="23" spans="1:47" ht="15" hidden="1" customHeight="1" x14ac:dyDescent="0.35">
      <c r="A23" s="80"/>
      <c r="B23" s="17">
        <v>2042</v>
      </c>
      <c r="C23" s="21">
        <f t="shared" si="8"/>
        <v>0.46000000000000008</v>
      </c>
      <c r="D23" s="21">
        <f t="shared" si="9"/>
        <v>0.1079999999999999</v>
      </c>
      <c r="E23" s="21">
        <f t="shared" si="10"/>
        <v>0</v>
      </c>
      <c r="H23" s="80"/>
      <c r="I23" s="17">
        <v>2042</v>
      </c>
      <c r="J23" s="21">
        <f t="shared" si="11"/>
        <v>0.56800000000000006</v>
      </c>
      <c r="K23" s="21">
        <f t="shared" si="12"/>
        <v>0.50800000000000001</v>
      </c>
      <c r="L23" s="21">
        <f t="shared" si="13"/>
        <v>0.36</v>
      </c>
      <c r="O23" s="80"/>
      <c r="P23" s="17">
        <v>2042</v>
      </c>
      <c r="Q23" s="21">
        <f t="shared" si="7"/>
        <v>0.43207692307692291</v>
      </c>
      <c r="R23" s="21">
        <f t="shared" si="4"/>
        <v>0.44246153846153891</v>
      </c>
      <c r="S23" s="21">
        <f t="shared" si="5"/>
        <v>0.26146153846153852</v>
      </c>
      <c r="V23" s="80"/>
      <c r="W23" s="17">
        <v>2043</v>
      </c>
      <c r="X23" s="21">
        <f>'SEI Scenario EST'!BK26</f>
        <v>0.60898621511122264</v>
      </c>
      <c r="Y23" s="21">
        <f>'SEI Scenario EST'!EB26</f>
        <v>0.5087748810974263</v>
      </c>
      <c r="Z23" s="21">
        <f>'SEI Scenario EST'!AH26</f>
        <v>0.43081262141894305</v>
      </c>
      <c r="AF23" s="80"/>
      <c r="AG23" s="17">
        <v>2042</v>
      </c>
      <c r="AH23" s="21" t="e">
        <f>(X22-#REF!)*'Efficiency Assumptions'!$F$7</f>
        <v>#REF!</v>
      </c>
      <c r="AI23" s="21" t="e">
        <f>(Y22-#REF!)*'Efficiency Assumptions'!$F$8</f>
        <v>#REF!</v>
      </c>
      <c r="AJ23" s="21" t="e">
        <f>(Z22-#REF!)*'Efficiency Assumptions'!$F$6</f>
        <v>#REF!</v>
      </c>
      <c r="AM23" s="80"/>
      <c r="AN23" s="17">
        <v>2043</v>
      </c>
      <c r="AO23" s="21">
        <f>(1-'SEI Scenario EST'!BM26)</f>
        <v>0.76118792055547746</v>
      </c>
      <c r="AP23" s="21">
        <f>(1-'SEI Scenario EST'!ED26)</f>
        <v>0.84558224228146117</v>
      </c>
      <c r="AQ23" s="21">
        <f>(1-'SEI Scenario EST'!AJ26)</f>
        <v>0.61484335455300965</v>
      </c>
      <c r="AR23" s="17">
        <v>2043</v>
      </c>
      <c r="AS23" s="21">
        <f>'SEI Scenario EST'!BM27</f>
        <v>0.25066380816868561</v>
      </c>
      <c r="AT23" s="21">
        <f>'SEI Scenario EST'!ED27</f>
        <v>0.16208117817419804</v>
      </c>
      <c r="AU23" s="21">
        <f>'SEI Scenario EST'!AJ27</f>
        <v>0.40426150801021687</v>
      </c>
    </row>
    <row r="24" spans="1:47" ht="15" hidden="1" customHeight="1" x14ac:dyDescent="0.35">
      <c r="A24" s="80"/>
      <c r="B24" s="17">
        <v>2043</v>
      </c>
      <c r="C24" s="21">
        <f t="shared" si="8"/>
        <v>0.46500000000000008</v>
      </c>
      <c r="D24" s="21">
        <f t="shared" si="9"/>
        <v>9.4499999999999904E-2</v>
      </c>
      <c r="E24" s="21">
        <f t="shared" si="10"/>
        <v>0</v>
      </c>
      <c r="H24" s="80"/>
      <c r="I24" s="17">
        <v>2043</v>
      </c>
      <c r="J24" s="21">
        <f t="shared" si="11"/>
        <v>0.57200000000000006</v>
      </c>
      <c r="K24" s="21">
        <f t="shared" si="12"/>
        <v>0.52200000000000002</v>
      </c>
      <c r="L24" s="21">
        <f t="shared" si="13"/>
        <v>0.39</v>
      </c>
      <c r="O24" s="80"/>
      <c r="P24" s="17">
        <v>2043</v>
      </c>
      <c r="Q24" s="21">
        <f t="shared" si="7"/>
        <v>0.43994230769230752</v>
      </c>
      <c r="R24" s="21">
        <f t="shared" si="4"/>
        <v>0.44965384615384663</v>
      </c>
      <c r="S24" s="21">
        <f t="shared" si="5"/>
        <v>0.27565384615384619</v>
      </c>
      <c r="V24" s="80"/>
      <c r="W24" s="17">
        <v>2044</v>
      </c>
      <c r="X24" s="21">
        <f>'SEI Scenario EST'!BK27</f>
        <v>0.63007942584971477</v>
      </c>
      <c r="Y24" s="21">
        <f>'SEI Scenario EST'!EB27</f>
        <v>0.520306616996561</v>
      </c>
      <c r="Z24" s="21">
        <f>'SEI Scenario EST'!AH27</f>
        <v>0.46616847387386839</v>
      </c>
      <c r="AF24" s="80"/>
      <c r="AG24" s="17">
        <v>2043</v>
      </c>
      <c r="AH24" s="21" t="e">
        <f>(X23-#REF!)*'Efficiency Assumptions'!$F$7</f>
        <v>#REF!</v>
      </c>
      <c r="AI24" s="21" t="e">
        <f>(Y23-#REF!)*'Efficiency Assumptions'!$F$8</f>
        <v>#REF!</v>
      </c>
      <c r="AJ24" s="21" t="e">
        <f>(Z23-#REF!)*'Efficiency Assumptions'!$F$6</f>
        <v>#REF!</v>
      </c>
      <c r="AM24" s="80"/>
      <c r="AN24" s="17">
        <v>2044</v>
      </c>
      <c r="AO24" s="21">
        <f>(1-'SEI Scenario EST'!BM27)</f>
        <v>0.74933619183131439</v>
      </c>
      <c r="AP24" s="21">
        <f>(1-'SEI Scenario EST'!ED27)</f>
        <v>0.83791882182580202</v>
      </c>
      <c r="AQ24" s="21">
        <f>(1-'SEI Scenario EST'!AJ27)</f>
        <v>0.59573849198978313</v>
      </c>
      <c r="AR24" s="17">
        <v>2044</v>
      </c>
      <c r="AS24" s="21">
        <f>'SEI Scenario EST'!BM28</f>
        <v>0.26023126566345839</v>
      </c>
      <c r="AT24" s="21">
        <f>'SEI Scenario EST'!ED28</f>
        <v>0.16826757099338313</v>
      </c>
      <c r="AU24" s="21">
        <f>'SEI Scenario EST'!AJ28</f>
        <v>0.41968321052152718</v>
      </c>
    </row>
    <row r="25" spans="1:47" ht="15" hidden="1" customHeight="1" x14ac:dyDescent="0.35">
      <c r="A25" s="80"/>
      <c r="B25" s="17">
        <v>2044</v>
      </c>
      <c r="C25" s="21">
        <f t="shared" si="8"/>
        <v>0.47000000000000008</v>
      </c>
      <c r="D25" s="21">
        <f t="shared" si="9"/>
        <v>8.0999999999999905E-2</v>
      </c>
      <c r="E25" s="21">
        <f t="shared" si="10"/>
        <v>0</v>
      </c>
      <c r="H25" s="80"/>
      <c r="I25" s="17">
        <v>2044</v>
      </c>
      <c r="J25" s="21">
        <f t="shared" si="11"/>
        <v>0.57600000000000007</v>
      </c>
      <c r="K25" s="21">
        <f t="shared" si="12"/>
        <v>0.53600000000000003</v>
      </c>
      <c r="L25" s="21">
        <f t="shared" si="13"/>
        <v>0.42000000000000004</v>
      </c>
      <c r="O25" s="80"/>
      <c r="P25" s="17">
        <v>2044</v>
      </c>
      <c r="Q25" s="21">
        <f t="shared" si="7"/>
        <v>0.44780769230769213</v>
      </c>
      <c r="R25" s="21">
        <f t="shared" si="4"/>
        <v>0.45684615384615435</v>
      </c>
      <c r="S25" s="21">
        <f t="shared" si="5"/>
        <v>0.28984615384615386</v>
      </c>
      <c r="V25" s="80"/>
      <c r="W25" s="17">
        <v>2045</v>
      </c>
      <c r="X25" s="21">
        <f>'SEI Scenario EST'!BK28</f>
        <v>0.64760020624662595</v>
      </c>
      <c r="Y25" s="21">
        <f>'SEI Scenario EST'!EB28</f>
        <v>0.52977076985014349</v>
      </c>
      <c r="Z25" s="21">
        <f>'SEI Scenario EST'!AH28</f>
        <v>0.49640486847423942</v>
      </c>
      <c r="AF25" s="80"/>
      <c r="AG25" s="17">
        <v>2044</v>
      </c>
      <c r="AH25" s="21" t="e">
        <f>(X24-#REF!)*'Efficiency Assumptions'!$F$7</f>
        <v>#REF!</v>
      </c>
      <c r="AI25" s="21" t="e">
        <f>(Y24-#REF!)*'Efficiency Assumptions'!$F$8</f>
        <v>#REF!</v>
      </c>
      <c r="AJ25" s="21" t="e">
        <f>(Z24-#REF!)*'Efficiency Assumptions'!$F$6</f>
        <v>#REF!</v>
      </c>
      <c r="AM25" s="80"/>
      <c r="AN25" s="17">
        <v>2045</v>
      </c>
      <c r="AO25" s="21">
        <f>(1-'SEI Scenario EST'!BM28)</f>
        <v>0.73976873433654156</v>
      </c>
      <c r="AP25" s="21">
        <f>(1-'SEI Scenario EST'!ED28)</f>
        <v>0.83173242900661681</v>
      </c>
      <c r="AQ25" s="21">
        <f>(1-'SEI Scenario EST'!AJ28)</f>
        <v>0.58031678947847287</v>
      </c>
      <c r="AR25" s="17">
        <v>2045</v>
      </c>
      <c r="AS25" s="21">
        <f>'SEI Scenario EST'!BM29</f>
        <v>0.26780365730245986</v>
      </c>
      <c r="AT25" s="21">
        <f>'SEI Scenario EST'!ED29</f>
        <v>0.17316393863182533</v>
      </c>
      <c r="AU25" s="21">
        <f>'SEI Scenario EST'!AJ29</f>
        <v>0.43188849728498813</v>
      </c>
    </row>
    <row r="26" spans="1:47" ht="15" hidden="1" customHeight="1" x14ac:dyDescent="0.35">
      <c r="A26" s="80"/>
      <c r="B26" s="17">
        <v>2045</v>
      </c>
      <c r="C26" s="21">
        <f t="shared" si="8"/>
        <v>0.47500000000000009</v>
      </c>
      <c r="D26" s="21">
        <f t="shared" si="9"/>
        <v>6.7499999999999907E-2</v>
      </c>
      <c r="E26" s="21">
        <f t="shared" si="10"/>
        <v>0</v>
      </c>
      <c r="H26" s="80"/>
      <c r="I26" s="17">
        <v>2045</v>
      </c>
      <c r="J26" s="21">
        <f t="shared" si="11"/>
        <v>0.58000000000000007</v>
      </c>
      <c r="K26" s="21">
        <f t="shared" si="12"/>
        <v>0.55000000000000004</v>
      </c>
      <c r="L26" s="21">
        <f t="shared" si="13"/>
        <v>0.45000000000000007</v>
      </c>
      <c r="O26" s="80"/>
      <c r="P26" s="17">
        <v>2045</v>
      </c>
      <c r="Q26" s="21">
        <f t="shared" si="7"/>
        <v>0.45567307692307674</v>
      </c>
      <c r="R26" s="21">
        <f t="shared" si="4"/>
        <v>0.46403846153846207</v>
      </c>
      <c r="S26" s="21">
        <f t="shared" si="5"/>
        <v>0.30403846153846154</v>
      </c>
      <c r="V26" s="80"/>
      <c r="W26" s="17">
        <v>2046</v>
      </c>
      <c r="X26" s="21">
        <f>'SEI Scenario EST'!BK29</f>
        <v>0.66179205995425616</v>
      </c>
      <c r="Y26" s="21">
        <f>'SEI Scenario EST'!EB29</f>
        <v>0.53736180160301072</v>
      </c>
      <c r="Z26" s="21">
        <f>'SEI Scenario EST'!AH29</f>
        <v>0.521497898064468</v>
      </c>
      <c r="AF26" s="80"/>
      <c r="AG26" s="17">
        <v>2045</v>
      </c>
      <c r="AH26" s="49" t="e">
        <f>(X25-#REF!)*'Efficiency Assumptions'!$F$7</f>
        <v>#REF!</v>
      </c>
      <c r="AI26" s="49" t="e">
        <f>(Y25-#REF!)*'Efficiency Assumptions'!$F$8</f>
        <v>#REF!</v>
      </c>
      <c r="AJ26" s="49" t="e">
        <f>(Z25-#REF!)*'Efficiency Assumptions'!$F$6</f>
        <v>#REF!</v>
      </c>
      <c r="AM26" s="80"/>
      <c r="AN26" s="17">
        <v>2046</v>
      </c>
      <c r="AO26" s="21">
        <f>(1-'SEI Scenario EST'!BM29)</f>
        <v>0.73219634269754019</v>
      </c>
      <c r="AP26" s="21">
        <f>(1-'SEI Scenario EST'!ED29)</f>
        <v>0.82683606136817467</v>
      </c>
      <c r="AQ26" s="21">
        <f>(1-'SEI Scenario EST'!AJ29)</f>
        <v>0.56811150271501187</v>
      </c>
      <c r="AR26" s="17">
        <v>2046</v>
      </c>
      <c r="AS26" s="21">
        <f>'SEI Scenario EST'!BM30</f>
        <v>0.27370384943615816</v>
      </c>
      <c r="AT26" s="21">
        <f>'SEI Scenario EST'!ED30</f>
        <v>0.17697904899606423</v>
      </c>
      <c r="AU26" s="21">
        <f>'SEI Scenario EST'!AJ30</f>
        <v>0.44139815442701696</v>
      </c>
    </row>
    <row r="27" spans="1:47" ht="15" hidden="1" customHeight="1" x14ac:dyDescent="0.35">
      <c r="A27" s="80"/>
      <c r="B27" s="17">
        <v>2046</v>
      </c>
      <c r="C27" s="21">
        <f t="shared" si="8"/>
        <v>0.48000000000000009</v>
      </c>
      <c r="D27" s="21">
        <f t="shared" si="9"/>
        <v>5.3999999999999909E-2</v>
      </c>
      <c r="E27" s="21">
        <f t="shared" si="10"/>
        <v>0</v>
      </c>
      <c r="H27" s="80"/>
      <c r="I27" s="17">
        <v>2046</v>
      </c>
      <c r="J27" s="21">
        <f t="shared" si="11"/>
        <v>0.58400000000000007</v>
      </c>
      <c r="K27" s="21">
        <f t="shared" si="12"/>
        <v>0.56400000000000006</v>
      </c>
      <c r="L27" s="21">
        <f t="shared" si="13"/>
        <v>0.48000000000000009</v>
      </c>
      <c r="O27" s="80"/>
      <c r="P27" s="17">
        <v>2046</v>
      </c>
      <c r="Q27" s="21">
        <f t="shared" si="7"/>
        <v>0.46353846153846134</v>
      </c>
      <c r="R27" s="21">
        <f t="shared" si="4"/>
        <v>0.47123076923076979</v>
      </c>
      <c r="S27" s="21">
        <f t="shared" si="5"/>
        <v>0.31823076923076921</v>
      </c>
      <c r="V27" s="80"/>
      <c r="W27" s="17">
        <v>2047</v>
      </c>
      <c r="X27" s="21">
        <f>'SEI Scenario EST'!BK30</f>
        <v>0.67305506925092851</v>
      </c>
      <c r="Y27" s="21">
        <f>'SEI Scenario EST'!EB30</f>
        <v>0.54333912342334534</v>
      </c>
      <c r="Z27" s="21">
        <f>'SEI Scenario EST'!AH30</f>
        <v>0.54180844362884417</v>
      </c>
      <c r="AF27" s="80"/>
      <c r="AG27" s="17">
        <v>2046</v>
      </c>
      <c r="AH27" s="21" t="e">
        <f>(X26-#REF!)*'Efficiency Assumptions'!$F$7</f>
        <v>#REF!</v>
      </c>
      <c r="AI27" s="21" t="e">
        <f>(Y26-#REF!)*'Efficiency Assumptions'!$F$8</f>
        <v>#REF!</v>
      </c>
      <c r="AJ27" s="21" t="e">
        <f>(Z26-#REF!)*'Efficiency Assumptions'!$F$6</f>
        <v>#REF!</v>
      </c>
      <c r="AM27" s="80"/>
      <c r="AN27" s="17">
        <v>2047</v>
      </c>
      <c r="AO27" s="21">
        <f>(1-'SEI Scenario EST'!BM30)</f>
        <v>0.72629615056384189</v>
      </c>
      <c r="AP27" s="21">
        <f>(1-'SEI Scenario EST'!ED30)</f>
        <v>0.8230209510039358</v>
      </c>
      <c r="AQ27" s="21">
        <f>(1-'SEI Scenario EST'!AJ30)</f>
        <v>0.55860184557298309</v>
      </c>
      <c r="AR27" s="17">
        <v>2047</v>
      </c>
      <c r="AS27" s="21">
        <f>'SEI Scenario EST'!BM31</f>
        <v>0.27824524208560919</v>
      </c>
      <c r="AT27" s="21">
        <f>'SEI Scenario EST'!ED31</f>
        <v>0.17991554899002946</v>
      </c>
      <c r="AU27" s="21">
        <f>'SEI Scenario EST'!AJ31</f>
        <v>0.44871755134490243</v>
      </c>
    </row>
    <row r="28" spans="1:47" ht="15" hidden="1" customHeight="1" x14ac:dyDescent="0.35">
      <c r="A28" s="80"/>
      <c r="B28" s="17">
        <v>2047</v>
      </c>
      <c r="C28" s="21">
        <f t="shared" si="8"/>
        <v>0.4850000000000001</v>
      </c>
      <c r="D28" s="21">
        <f t="shared" si="9"/>
        <v>4.0499999999999911E-2</v>
      </c>
      <c r="E28" s="21">
        <f t="shared" si="10"/>
        <v>0</v>
      </c>
      <c r="H28" s="80"/>
      <c r="I28" s="17">
        <v>2047</v>
      </c>
      <c r="J28" s="21">
        <f t="shared" si="11"/>
        <v>0.58800000000000008</v>
      </c>
      <c r="K28" s="21">
        <f t="shared" si="12"/>
        <v>0.57800000000000007</v>
      </c>
      <c r="L28" s="21">
        <f t="shared" si="13"/>
        <v>0.51000000000000012</v>
      </c>
      <c r="O28" s="80"/>
      <c r="P28" s="17">
        <v>2047</v>
      </c>
      <c r="Q28" s="21">
        <f t="shared" si="7"/>
        <v>0.47140384615384595</v>
      </c>
      <c r="R28" s="21">
        <f t="shared" si="4"/>
        <v>0.47842307692307751</v>
      </c>
      <c r="S28" s="21">
        <f t="shared" si="5"/>
        <v>0.33242307692307688</v>
      </c>
      <c r="V28" s="80"/>
      <c r="W28" s="17">
        <v>2048</v>
      </c>
      <c r="X28" s="21">
        <f>'SEI Scenario EST'!BK31</f>
        <v>0.68184965202500036</v>
      </c>
      <c r="Y28" s="21">
        <f>'SEI Scenario EST'!EB31</f>
        <v>0.54797776022602429</v>
      </c>
      <c r="Z28" s="21">
        <f>'SEI Scenario EST'!AH31</f>
        <v>0.55791797922723119</v>
      </c>
      <c r="AF28" s="80"/>
      <c r="AG28" s="17">
        <v>2047</v>
      </c>
      <c r="AH28" s="21" t="e">
        <f>(X27-#REF!)*'Efficiency Assumptions'!$F$7</f>
        <v>#REF!</v>
      </c>
      <c r="AI28" s="21" t="e">
        <f>(Y27-#REF!)*'Efficiency Assumptions'!$F$8</f>
        <v>#REF!</v>
      </c>
      <c r="AJ28" s="21" t="e">
        <f>(Z27-#REF!)*'Efficiency Assumptions'!$F$6</f>
        <v>#REF!</v>
      </c>
      <c r="AM28" s="80"/>
      <c r="AN28" s="17">
        <v>2048</v>
      </c>
      <c r="AO28" s="21">
        <f>(1-'SEI Scenario EST'!BM31)</f>
        <v>0.72175475791439081</v>
      </c>
      <c r="AP28" s="21">
        <f>(1-'SEI Scenario EST'!ED31)</f>
        <v>0.82008445100997052</v>
      </c>
      <c r="AQ28" s="21">
        <f>(1-'SEI Scenario EST'!AJ31)</f>
        <v>0.55128244865509757</v>
      </c>
      <c r="AR28" s="17">
        <v>2048</v>
      </c>
      <c r="AS28" s="21">
        <f>'SEI Scenario EST'!BM32</f>
        <v>0.28170797459124525</v>
      </c>
      <c r="AT28" s="21">
        <f>'SEI Scenario EST'!ED32</f>
        <v>0.18215457890151096</v>
      </c>
      <c r="AU28" s="21">
        <f>'SEI Scenario EST'!AJ32</f>
        <v>0.45429834162826865</v>
      </c>
    </row>
    <row r="29" spans="1:47" ht="15" hidden="1" customHeight="1" x14ac:dyDescent="0.35">
      <c r="A29" s="80"/>
      <c r="B29" s="17">
        <v>2048</v>
      </c>
      <c r="C29" s="21">
        <f t="shared" si="8"/>
        <v>0.4900000000000001</v>
      </c>
      <c r="D29" s="21">
        <f t="shared" si="9"/>
        <v>2.6999999999999909E-2</v>
      </c>
      <c r="E29" s="21">
        <f t="shared" si="10"/>
        <v>0</v>
      </c>
      <c r="H29" s="80"/>
      <c r="I29" s="17">
        <v>2048</v>
      </c>
      <c r="J29" s="21">
        <f t="shared" si="11"/>
        <v>0.59200000000000008</v>
      </c>
      <c r="K29" s="21">
        <f t="shared" si="12"/>
        <v>0.59200000000000008</v>
      </c>
      <c r="L29" s="21">
        <f t="shared" si="13"/>
        <v>0.54000000000000015</v>
      </c>
      <c r="O29" s="80"/>
      <c r="P29" s="17">
        <v>2048</v>
      </c>
      <c r="Q29" s="21">
        <f t="shared" si="7"/>
        <v>0.47926923076923056</v>
      </c>
      <c r="R29" s="21">
        <f t="shared" si="4"/>
        <v>0.48561538461538523</v>
      </c>
      <c r="S29" s="21">
        <f t="shared" si="5"/>
        <v>0.34661538461538455</v>
      </c>
      <c r="V29" s="80"/>
      <c r="W29" s="17">
        <v>2049</v>
      </c>
      <c r="X29" s="21">
        <f>'SEI Scenario EST'!BK32</f>
        <v>0.68863009127865593</v>
      </c>
      <c r="Y29" s="21">
        <f>'SEI Scenario EST'!EB32</f>
        <v>0.55153702195441512</v>
      </c>
      <c r="Z29" s="21">
        <f>'SEI Scenario EST'!AH32</f>
        <v>0.570491131815139</v>
      </c>
      <c r="AF29" s="80"/>
      <c r="AG29" s="17">
        <v>2048</v>
      </c>
      <c r="AH29" s="21" t="e">
        <f>(X28-#REF!)*'Efficiency Assumptions'!$F$7</f>
        <v>#REF!</v>
      </c>
      <c r="AI29" s="21" t="e">
        <f>(Y28-#REF!)*'Efficiency Assumptions'!$F$8</f>
        <v>#REF!</v>
      </c>
      <c r="AJ29" s="21" t="e">
        <f>(Z28-#REF!)*'Efficiency Assumptions'!$F$6</f>
        <v>#REF!</v>
      </c>
      <c r="AM29" s="80"/>
      <c r="AN29" s="17">
        <v>2049</v>
      </c>
      <c r="AO29" s="21">
        <f>(1-'SEI Scenario EST'!BM32)</f>
        <v>0.71829202540875481</v>
      </c>
      <c r="AP29" s="21">
        <f>(1-'SEI Scenario EST'!ED32)</f>
        <v>0.81784542109848901</v>
      </c>
      <c r="AQ29" s="21">
        <f>(1-'SEI Scenario EST'!AJ32)</f>
        <v>0.54570165837173135</v>
      </c>
      <c r="AR29" s="17">
        <v>2049</v>
      </c>
      <c r="AS29" s="21">
        <f>'SEI Scenario EST'!BM33</f>
        <v>0.28432932151174439</v>
      </c>
      <c r="AT29" s="21">
        <f>'SEI Scenario EST'!ED33</f>
        <v>0.18384956231527902</v>
      </c>
      <c r="AU29" s="21">
        <f>'SEI Scenario EST'!AJ33</f>
        <v>0.45852302422148322</v>
      </c>
    </row>
    <row r="30" spans="1:47" ht="15" hidden="1" customHeight="1" x14ac:dyDescent="0.35">
      <c r="A30" s="80"/>
      <c r="B30" s="17">
        <v>2049</v>
      </c>
      <c r="C30" s="21">
        <f t="shared" si="8"/>
        <v>0.49500000000000011</v>
      </c>
      <c r="D30" s="21">
        <f t="shared" si="9"/>
        <v>1.3499999999999908E-2</v>
      </c>
      <c r="E30" s="21">
        <f t="shared" si="10"/>
        <v>0</v>
      </c>
      <c r="H30" s="80"/>
      <c r="I30" s="17">
        <v>2049</v>
      </c>
      <c r="J30" s="21">
        <f t="shared" si="11"/>
        <v>0.59600000000000009</v>
      </c>
      <c r="K30" s="21">
        <f t="shared" si="12"/>
        <v>0.60600000000000009</v>
      </c>
      <c r="L30" s="21">
        <f t="shared" si="13"/>
        <v>0.57000000000000017</v>
      </c>
      <c r="O30" s="80"/>
      <c r="P30" s="17">
        <v>2049</v>
      </c>
      <c r="Q30" s="21">
        <f t="shared" si="7"/>
        <v>0.48713461538461517</v>
      </c>
      <c r="R30" s="21">
        <f t="shared" si="4"/>
        <v>0.49280769230769295</v>
      </c>
      <c r="S30" s="21">
        <f t="shared" si="5"/>
        <v>0.36080769230769222</v>
      </c>
      <c r="V30" s="80"/>
      <c r="W30" s="17">
        <v>2050</v>
      </c>
      <c r="X30" s="21">
        <f>'SEI Scenario EST'!BK33</f>
        <v>0.69380663418516375</v>
      </c>
      <c r="Y30" s="21">
        <f>'SEI Scenario EST'!EB33</f>
        <v>0.55424443079030183</v>
      </c>
      <c r="Z30" s="21">
        <f>'SEI Scenario EST'!AH33</f>
        <v>0.58018131529188677</v>
      </c>
      <c r="AF30" s="80"/>
      <c r="AG30" s="17">
        <v>2049</v>
      </c>
      <c r="AH30" s="21" t="e">
        <f>(X29-#REF!)*'Efficiency Assumptions'!$F$7</f>
        <v>#REF!</v>
      </c>
      <c r="AI30" s="21" t="e">
        <f>(Y29-#REF!)*'Efficiency Assumptions'!$F$8</f>
        <v>#REF!</v>
      </c>
      <c r="AJ30" s="21" t="e">
        <f>(Z29-#REF!)*'Efficiency Assumptions'!$F$6</f>
        <v>#REF!</v>
      </c>
      <c r="AM30" s="80"/>
      <c r="AN30" s="50">
        <v>2050</v>
      </c>
      <c r="AO30" s="21">
        <f>(1-'SEI Scenario EST'!BM33)</f>
        <v>0.71567067848825561</v>
      </c>
      <c r="AP30" s="21">
        <f>(1-'SEI Scenario EST'!ED33)</f>
        <v>0.81615043768472095</v>
      </c>
      <c r="AQ30" s="21">
        <f>(1-'SEI Scenario EST'!AJ33)</f>
        <v>0.54147697577851672</v>
      </c>
      <c r="AR30" s="17">
        <v>2050</v>
      </c>
      <c r="AS30" s="21">
        <f>'SEI Scenario EST'!BM34</f>
        <v>0.28630293825355624</v>
      </c>
      <c r="AT30" s="21">
        <f>'SEI Scenario EST'!ED34</f>
        <v>0.18512571833123601</v>
      </c>
      <c r="AU30" s="21">
        <f>'SEI Scenario EST'!AJ34</f>
        <v>0.46170375569832467</v>
      </c>
    </row>
    <row r="31" spans="1:47" ht="15" hidden="1" customHeight="1" x14ac:dyDescent="0.35">
      <c r="A31" s="80"/>
      <c r="B31" s="17">
        <v>2050</v>
      </c>
      <c r="C31" s="51">
        <v>0.5</v>
      </c>
      <c r="D31" s="7"/>
      <c r="E31" s="7"/>
      <c r="H31" s="80"/>
      <c r="I31" s="17">
        <v>2050</v>
      </c>
      <c r="J31" s="44">
        <v>0.6</v>
      </c>
      <c r="K31" s="44">
        <v>0.62</v>
      </c>
      <c r="L31" s="44">
        <v>0.6</v>
      </c>
      <c r="O31" s="80"/>
      <c r="P31" s="17">
        <v>2050</v>
      </c>
      <c r="Q31" s="44">
        <v>0.495</v>
      </c>
      <c r="R31" s="44">
        <v>0.5</v>
      </c>
      <c r="S31" s="44">
        <v>0.375</v>
      </c>
      <c r="V31" s="80"/>
      <c r="AF31" s="80"/>
      <c r="AG31" s="50">
        <v>2050</v>
      </c>
      <c r="AH31" s="53" t="e">
        <f>(X30-#REF!)*'Efficiency Assumptions'!$F$7</f>
        <v>#REF!</v>
      </c>
      <c r="AI31" s="53" t="e">
        <f>(Y30-#REF!)*'Efficiency Assumptions'!$F$8</f>
        <v>#REF!</v>
      </c>
      <c r="AJ31" s="53" t="e">
        <f>(Z30-#REF!)*'Efficiency Assumptions'!$F$6</f>
        <v>#REF!</v>
      </c>
      <c r="AM31" s="80"/>
    </row>
    <row r="32" spans="1:47" x14ac:dyDescent="0.35">
      <c r="I32" s="7"/>
      <c r="P32" s="7"/>
    </row>
    <row r="33" spans="9:16" x14ac:dyDescent="0.35">
      <c r="I33" s="7"/>
      <c r="P33" s="7"/>
    </row>
    <row r="34" spans="9:16" x14ac:dyDescent="0.35">
      <c r="I34" s="7"/>
      <c r="P34" s="7"/>
    </row>
    <row r="35" spans="9:16" x14ac:dyDescent="0.35">
      <c r="I35" s="7"/>
      <c r="P35" s="7"/>
    </row>
    <row r="36" spans="9:16" x14ac:dyDescent="0.35">
      <c r="I36" s="7"/>
      <c r="P36" s="7"/>
    </row>
    <row r="37" spans="9:16" x14ac:dyDescent="0.35">
      <c r="I37" s="7"/>
      <c r="P37" s="7"/>
    </row>
    <row r="38" spans="9:16" x14ac:dyDescent="0.35">
      <c r="I38" s="7"/>
      <c r="P38" s="7"/>
    </row>
    <row r="39" spans="9:16" x14ac:dyDescent="0.35">
      <c r="I39" s="7"/>
      <c r="P39" s="7"/>
    </row>
    <row r="40" spans="9:16" x14ac:dyDescent="0.35">
      <c r="I40" s="7"/>
      <c r="P40" s="7"/>
    </row>
    <row r="41" spans="9:16" x14ac:dyDescent="0.35">
      <c r="I41" s="7"/>
      <c r="P41" s="7"/>
    </row>
    <row r="42" spans="9:16" x14ac:dyDescent="0.35">
      <c r="I42" s="7"/>
      <c r="P42" s="7"/>
    </row>
    <row r="43" spans="9:16" x14ac:dyDescent="0.35">
      <c r="I43" s="7"/>
      <c r="P43" s="7"/>
    </row>
    <row r="44" spans="9:16" x14ac:dyDescent="0.35">
      <c r="I44" s="7"/>
      <c r="P44" s="7"/>
    </row>
    <row r="45" spans="9:16" x14ac:dyDescent="0.35">
      <c r="I45" s="7"/>
      <c r="P45" s="7"/>
    </row>
    <row r="46" spans="9:16" x14ac:dyDescent="0.35">
      <c r="I46" s="7"/>
      <c r="P46" s="7"/>
    </row>
    <row r="47" spans="9:16" x14ac:dyDescent="0.35">
      <c r="I47" s="7"/>
      <c r="P47" s="7"/>
    </row>
    <row r="48" spans="9:16" x14ac:dyDescent="0.35">
      <c r="I48" s="7"/>
      <c r="P48" s="7"/>
    </row>
    <row r="49" spans="9:16" x14ac:dyDescent="0.35">
      <c r="I49" s="7"/>
      <c r="P49" s="7"/>
    </row>
    <row r="50" spans="9:16" x14ac:dyDescent="0.35">
      <c r="I50" s="7"/>
      <c r="P50" s="7"/>
    </row>
    <row r="51" spans="9:16" x14ac:dyDescent="0.35">
      <c r="I51" s="7"/>
      <c r="P51" s="7"/>
    </row>
    <row r="52" spans="9:16" x14ac:dyDescent="0.35">
      <c r="I52" s="7"/>
      <c r="P52" s="7"/>
    </row>
    <row r="53" spans="9:16" x14ac:dyDescent="0.35">
      <c r="I53" s="7"/>
      <c r="P53" s="7"/>
    </row>
    <row r="54" spans="9:16" x14ac:dyDescent="0.35">
      <c r="I54" s="7"/>
      <c r="P54" s="7"/>
    </row>
    <row r="55" spans="9:16" x14ac:dyDescent="0.35">
      <c r="I55" s="7"/>
      <c r="P55" s="7"/>
    </row>
    <row r="56" spans="9:16" x14ac:dyDescent="0.35">
      <c r="I56" s="7"/>
      <c r="P56" s="7"/>
    </row>
    <row r="57" spans="9:16" x14ac:dyDescent="0.35">
      <c r="I57" s="7"/>
      <c r="P57" s="7"/>
    </row>
    <row r="58" spans="9:16" x14ac:dyDescent="0.35">
      <c r="I58" s="7"/>
      <c r="P58" s="7"/>
    </row>
    <row r="59" spans="9:16" x14ac:dyDescent="0.35">
      <c r="I59" s="7"/>
      <c r="P59" s="7"/>
    </row>
    <row r="60" spans="9:16" x14ac:dyDescent="0.35">
      <c r="I60" s="7"/>
      <c r="P60" s="7"/>
    </row>
    <row r="61" spans="9:16" x14ac:dyDescent="0.35">
      <c r="I61" s="7"/>
      <c r="P61" s="7"/>
    </row>
    <row r="62" spans="9:16" x14ac:dyDescent="0.35">
      <c r="I62" s="7"/>
      <c r="J62" s="7"/>
      <c r="K62" s="7"/>
      <c r="P62" s="7"/>
    </row>
    <row r="63" spans="9:16" x14ac:dyDescent="0.35">
      <c r="I63" s="7"/>
      <c r="J63" s="7"/>
      <c r="K63" s="7"/>
      <c r="P63" s="7"/>
    </row>
    <row r="64" spans="9:16" x14ac:dyDescent="0.35">
      <c r="I64" s="7"/>
      <c r="J64" s="7"/>
      <c r="K64" s="7"/>
      <c r="P64" s="7"/>
    </row>
    <row r="65" spans="9:16" x14ac:dyDescent="0.35">
      <c r="I65" s="7"/>
      <c r="J65" s="7"/>
      <c r="K65" s="7"/>
      <c r="P65" s="7"/>
    </row>
    <row r="66" spans="9:16" x14ac:dyDescent="0.35">
      <c r="I66" s="7"/>
      <c r="J66" s="7"/>
      <c r="K66" s="7"/>
      <c r="P66" s="7"/>
    </row>
    <row r="67" spans="9:16" x14ac:dyDescent="0.35">
      <c r="I67" s="7"/>
      <c r="J67" s="7"/>
      <c r="K67" s="7"/>
      <c r="P67" s="7"/>
    </row>
    <row r="68" spans="9:16" x14ac:dyDescent="0.35">
      <c r="I68" s="7"/>
      <c r="J68" s="7"/>
      <c r="K68" s="7"/>
      <c r="P68" s="7"/>
    </row>
    <row r="69" spans="9:16" x14ac:dyDescent="0.35">
      <c r="I69" s="7"/>
      <c r="J69" s="7"/>
      <c r="K69" s="7"/>
      <c r="P69" s="7"/>
    </row>
    <row r="70" spans="9:16" x14ac:dyDescent="0.35">
      <c r="I70" s="7"/>
      <c r="J70" s="7"/>
      <c r="K70" s="7"/>
      <c r="P70" s="7"/>
    </row>
    <row r="71" spans="9:16" x14ac:dyDescent="0.35">
      <c r="I71" s="7"/>
      <c r="J71" s="7"/>
      <c r="K71" s="7"/>
      <c r="P71" s="7"/>
    </row>
    <row r="72" spans="9:16" x14ac:dyDescent="0.35">
      <c r="I72" s="7"/>
      <c r="J72" s="7"/>
      <c r="K72" s="7"/>
      <c r="P72" s="7"/>
    </row>
    <row r="73" spans="9:16" x14ac:dyDescent="0.35">
      <c r="I73" s="7"/>
      <c r="J73" s="7"/>
      <c r="K73" s="7"/>
      <c r="P73" s="7"/>
    </row>
    <row r="74" spans="9:16" x14ac:dyDescent="0.35">
      <c r="I74" s="7"/>
      <c r="J74" s="7"/>
      <c r="K74" s="7"/>
      <c r="P74" s="7"/>
    </row>
    <row r="75" spans="9:16" x14ac:dyDescent="0.35">
      <c r="I75" s="7"/>
      <c r="J75" s="7"/>
      <c r="K75" s="7"/>
      <c r="P75" s="7"/>
    </row>
    <row r="76" spans="9:16" x14ac:dyDescent="0.35">
      <c r="I76" s="7"/>
      <c r="J76" s="7"/>
      <c r="K76" s="7"/>
      <c r="P76" s="7"/>
    </row>
    <row r="77" spans="9:16" x14ac:dyDescent="0.35">
      <c r="I77" s="7"/>
      <c r="J77" s="7"/>
      <c r="K77" s="7"/>
      <c r="P77" s="7"/>
    </row>
    <row r="78" spans="9:16" x14ac:dyDescent="0.35">
      <c r="I78" s="7"/>
      <c r="J78" s="7"/>
      <c r="K78" s="7"/>
      <c r="P78" s="7"/>
    </row>
    <row r="79" spans="9:16" x14ac:dyDescent="0.35">
      <c r="I79" s="7"/>
      <c r="J79" s="7"/>
      <c r="K79" s="7"/>
      <c r="P79" s="7"/>
    </row>
    <row r="80" spans="9:16" x14ac:dyDescent="0.35">
      <c r="I80" s="7"/>
      <c r="J80" s="7"/>
      <c r="K80" s="7"/>
      <c r="P80" s="7"/>
    </row>
    <row r="81" spans="9:16" x14ac:dyDescent="0.35">
      <c r="I81" s="7"/>
      <c r="J81" s="7"/>
      <c r="K81" s="7"/>
      <c r="P81" s="7"/>
    </row>
    <row r="82" spans="9:16" x14ac:dyDescent="0.35">
      <c r="I82" s="7"/>
      <c r="J82" s="7"/>
      <c r="K82" s="7"/>
      <c r="P82" s="7"/>
    </row>
    <row r="83" spans="9:16" x14ac:dyDescent="0.35">
      <c r="I83" s="7"/>
      <c r="J83" s="7"/>
      <c r="K83" s="7"/>
      <c r="P83" s="7"/>
    </row>
    <row r="84" spans="9:16" x14ac:dyDescent="0.35">
      <c r="I84" s="7"/>
      <c r="J84" s="7"/>
      <c r="K84" s="7"/>
      <c r="P84" s="7"/>
    </row>
    <row r="85" spans="9:16" x14ac:dyDescent="0.35">
      <c r="I85" s="7"/>
      <c r="J85" s="7"/>
      <c r="K85" s="7"/>
      <c r="P85" s="7"/>
    </row>
    <row r="86" spans="9:16" x14ac:dyDescent="0.35">
      <c r="I86" s="7"/>
      <c r="J86" s="7"/>
      <c r="K86" s="7"/>
      <c r="P86" s="7"/>
    </row>
    <row r="87" spans="9:16" x14ac:dyDescent="0.35">
      <c r="I87" s="7"/>
      <c r="J87" s="7"/>
      <c r="K87" s="7"/>
      <c r="P87" s="7"/>
    </row>
    <row r="88" spans="9:16" x14ac:dyDescent="0.35">
      <c r="I88" s="7"/>
      <c r="J88" s="7"/>
      <c r="K88" s="7"/>
      <c r="P88" s="7"/>
    </row>
    <row r="89" spans="9:16" x14ac:dyDescent="0.35">
      <c r="I89" s="7"/>
      <c r="P89" s="7"/>
    </row>
    <row r="90" spans="9:16" x14ac:dyDescent="0.35">
      <c r="I90" s="7"/>
      <c r="P90" s="7"/>
    </row>
    <row r="91" spans="9:16" x14ac:dyDescent="0.35">
      <c r="I91" s="7"/>
      <c r="P91" s="7"/>
    </row>
    <row r="92" spans="9:16" x14ac:dyDescent="0.35">
      <c r="I92" s="7"/>
      <c r="P92" s="7"/>
    </row>
    <row r="93" spans="9:16" x14ac:dyDescent="0.35">
      <c r="I93" s="7"/>
      <c r="P93" s="7"/>
    </row>
    <row r="94" spans="9:16" x14ac:dyDescent="0.35">
      <c r="I94" s="7"/>
      <c r="P94" s="7"/>
    </row>
    <row r="95" spans="9:16" x14ac:dyDescent="0.35">
      <c r="I95" s="7"/>
      <c r="P95" s="7"/>
    </row>
    <row r="96" spans="9:16" x14ac:dyDescent="0.35">
      <c r="I96" s="7"/>
      <c r="P96" s="7"/>
    </row>
    <row r="97" spans="9:16" x14ac:dyDescent="0.35">
      <c r="I97" s="7"/>
      <c r="P97" s="7"/>
    </row>
    <row r="98" spans="9:16" x14ac:dyDescent="0.35">
      <c r="I98" s="7"/>
      <c r="P98" s="7"/>
    </row>
    <row r="99" spans="9:16" x14ac:dyDescent="0.35">
      <c r="I99" s="7"/>
      <c r="P99" s="7"/>
    </row>
    <row r="100" spans="9:16" x14ac:dyDescent="0.35">
      <c r="I100" s="7"/>
      <c r="P100" s="7"/>
    </row>
    <row r="101" spans="9:16" x14ac:dyDescent="0.35">
      <c r="I101" s="7"/>
      <c r="P101" s="7"/>
    </row>
    <row r="102" spans="9:16" x14ac:dyDescent="0.35">
      <c r="I102" s="7"/>
      <c r="P102" s="7"/>
    </row>
    <row r="103" spans="9:16" x14ac:dyDescent="0.35">
      <c r="I103" s="7"/>
      <c r="P103" s="7"/>
    </row>
    <row r="104" spans="9:16" x14ac:dyDescent="0.35">
      <c r="I104" s="7"/>
      <c r="P104" s="7"/>
    </row>
    <row r="105" spans="9:16" x14ac:dyDescent="0.35">
      <c r="I105" s="7"/>
      <c r="P105" s="7"/>
    </row>
    <row r="106" spans="9:16" x14ac:dyDescent="0.35">
      <c r="I106" s="7"/>
      <c r="P106" s="7"/>
    </row>
    <row r="107" spans="9:16" x14ac:dyDescent="0.35">
      <c r="I107" s="7"/>
      <c r="P107" s="7"/>
    </row>
    <row r="108" spans="9:16" x14ac:dyDescent="0.35">
      <c r="I108" s="7"/>
      <c r="P108" s="7"/>
    </row>
    <row r="109" spans="9:16" x14ac:dyDescent="0.35">
      <c r="I109" s="7"/>
      <c r="P109" s="7"/>
    </row>
    <row r="110" spans="9:16" x14ac:dyDescent="0.35">
      <c r="I110" s="7"/>
      <c r="P110" s="7"/>
    </row>
    <row r="111" spans="9:16" x14ac:dyDescent="0.35">
      <c r="I111" s="7"/>
      <c r="P111" s="7"/>
    </row>
    <row r="112" spans="9:16" x14ac:dyDescent="0.35">
      <c r="I112" s="7"/>
      <c r="P112" s="7"/>
    </row>
    <row r="113" spans="9:16" x14ac:dyDescent="0.35">
      <c r="I113" s="7"/>
      <c r="P113" s="7"/>
    </row>
    <row r="114" spans="9:16" x14ac:dyDescent="0.35">
      <c r="I114" s="7"/>
      <c r="P114" s="7"/>
    </row>
    <row r="115" spans="9:16" x14ac:dyDescent="0.35">
      <c r="I115" s="7"/>
      <c r="P115" s="7"/>
    </row>
    <row r="116" spans="9:16" x14ac:dyDescent="0.35">
      <c r="I116" s="7"/>
      <c r="P116" s="7"/>
    </row>
    <row r="117" spans="9:16" x14ac:dyDescent="0.35">
      <c r="I117" s="7"/>
      <c r="P117" s="7"/>
    </row>
    <row r="118" spans="9:16" x14ac:dyDescent="0.35">
      <c r="I118" s="7"/>
      <c r="P118" s="7"/>
    </row>
    <row r="119" spans="9:16" x14ac:dyDescent="0.35">
      <c r="I119" s="7"/>
      <c r="P119" s="7"/>
    </row>
    <row r="120" spans="9:16" x14ac:dyDescent="0.35">
      <c r="I120" s="7"/>
      <c r="P120" s="7"/>
    </row>
    <row r="121" spans="9:16" x14ac:dyDescent="0.35">
      <c r="I121" s="7"/>
      <c r="P121" s="7"/>
    </row>
    <row r="122" spans="9:16" x14ac:dyDescent="0.35">
      <c r="I122" s="7"/>
      <c r="P122" s="7"/>
    </row>
    <row r="123" spans="9:16" x14ac:dyDescent="0.35">
      <c r="I123" s="7"/>
      <c r="P123" s="7"/>
    </row>
    <row r="124" spans="9:16" x14ac:dyDescent="0.35">
      <c r="I124" s="7"/>
      <c r="P124" s="7"/>
    </row>
    <row r="125" spans="9:16" x14ac:dyDescent="0.35">
      <c r="I125" s="7"/>
      <c r="P125" s="7"/>
    </row>
    <row r="126" spans="9:16" x14ac:dyDescent="0.35">
      <c r="I126" s="7"/>
      <c r="P126" s="7"/>
    </row>
    <row r="127" spans="9:16" x14ac:dyDescent="0.35">
      <c r="I127" s="7"/>
      <c r="P127" s="7"/>
    </row>
    <row r="128" spans="9:16" x14ac:dyDescent="0.35">
      <c r="I128" s="7"/>
      <c r="P128" s="7"/>
    </row>
    <row r="129" spans="9:16" x14ac:dyDescent="0.35">
      <c r="I129" s="7"/>
      <c r="P129" s="7"/>
    </row>
    <row r="130" spans="9:16" x14ac:dyDescent="0.35">
      <c r="I130" s="7"/>
      <c r="P130" s="7"/>
    </row>
    <row r="131" spans="9:16" x14ac:dyDescent="0.35">
      <c r="I131" s="7"/>
      <c r="P131" s="7"/>
    </row>
    <row r="132" spans="9:16" x14ac:dyDescent="0.35">
      <c r="I132" s="7"/>
      <c r="P132" s="7"/>
    </row>
    <row r="133" spans="9:16" x14ac:dyDescent="0.35">
      <c r="I133" s="7"/>
      <c r="P133" s="7"/>
    </row>
    <row r="134" spans="9:16" x14ac:dyDescent="0.35">
      <c r="I134" s="7"/>
      <c r="P134" s="7"/>
    </row>
    <row r="135" spans="9:16" x14ac:dyDescent="0.35">
      <c r="I135" s="7"/>
      <c r="P135" s="7"/>
    </row>
    <row r="136" spans="9:16" x14ac:dyDescent="0.35">
      <c r="I136" s="7"/>
      <c r="P136" s="7"/>
    </row>
    <row r="137" spans="9:16" x14ac:dyDescent="0.35">
      <c r="I137" s="7"/>
      <c r="P137" s="7"/>
    </row>
    <row r="138" spans="9:16" x14ac:dyDescent="0.35">
      <c r="I138" s="7"/>
      <c r="P138" s="7"/>
    </row>
    <row r="139" spans="9:16" x14ac:dyDescent="0.35">
      <c r="I139" s="7"/>
      <c r="P139" s="7"/>
    </row>
    <row r="140" spans="9:16" x14ac:dyDescent="0.35">
      <c r="I140" s="7"/>
      <c r="P140" s="7"/>
    </row>
    <row r="141" spans="9:16" x14ac:dyDescent="0.35">
      <c r="I141" s="7"/>
      <c r="P141" s="7"/>
    </row>
    <row r="142" spans="9:16" x14ac:dyDescent="0.35">
      <c r="I142" s="7"/>
      <c r="P142" s="7"/>
    </row>
    <row r="143" spans="9:16" x14ac:dyDescent="0.35">
      <c r="I143" s="7"/>
      <c r="P143" s="7"/>
    </row>
    <row r="144" spans="9:16" x14ac:dyDescent="0.35">
      <c r="I144" s="7"/>
      <c r="P144" s="7"/>
    </row>
    <row r="145" spans="9:16" x14ac:dyDescent="0.35">
      <c r="I145" s="7"/>
      <c r="P145" s="7"/>
    </row>
    <row r="146" spans="9:16" x14ac:dyDescent="0.35">
      <c r="I146" s="7"/>
      <c r="P146" s="7"/>
    </row>
    <row r="147" spans="9:16" x14ac:dyDescent="0.35">
      <c r="I147" s="7"/>
      <c r="P147" s="7"/>
    </row>
    <row r="148" spans="9:16" x14ac:dyDescent="0.35">
      <c r="I148" s="7"/>
      <c r="P148" s="7"/>
    </row>
    <row r="149" spans="9:16" x14ac:dyDescent="0.35">
      <c r="I149" s="7"/>
      <c r="P149" s="7"/>
    </row>
    <row r="150" spans="9:16" x14ac:dyDescent="0.35">
      <c r="I150" s="7"/>
      <c r="P150" s="7"/>
    </row>
    <row r="151" spans="9:16" x14ac:dyDescent="0.35">
      <c r="I151" s="7"/>
      <c r="P151" s="7"/>
    </row>
    <row r="152" spans="9:16" x14ac:dyDescent="0.35">
      <c r="I152" s="7"/>
      <c r="P152" s="7"/>
    </row>
    <row r="153" spans="9:16" x14ac:dyDescent="0.35">
      <c r="I153" s="7"/>
      <c r="P153" s="7"/>
    </row>
    <row r="154" spans="9:16" x14ac:dyDescent="0.35">
      <c r="I154" s="7"/>
      <c r="P154" s="7"/>
    </row>
    <row r="155" spans="9:16" x14ac:dyDescent="0.35">
      <c r="I155" s="7"/>
      <c r="P155" s="7"/>
    </row>
    <row r="156" spans="9:16" x14ac:dyDescent="0.35">
      <c r="I156" s="7"/>
      <c r="P156" s="7"/>
    </row>
    <row r="157" spans="9:16" x14ac:dyDescent="0.35">
      <c r="I157" s="7"/>
      <c r="P157" s="7"/>
    </row>
    <row r="158" spans="9:16" x14ac:dyDescent="0.35">
      <c r="I158" s="7"/>
      <c r="P158" s="7"/>
    </row>
    <row r="159" spans="9:16" x14ac:dyDescent="0.35">
      <c r="I159" s="7"/>
      <c r="P159" s="7"/>
    </row>
    <row r="160" spans="9:16" x14ac:dyDescent="0.35">
      <c r="I160" s="7"/>
      <c r="P160" s="7"/>
    </row>
    <row r="161" spans="9:16" x14ac:dyDescent="0.35">
      <c r="I161" s="7"/>
      <c r="P161" s="7"/>
    </row>
    <row r="162" spans="9:16" x14ac:dyDescent="0.35">
      <c r="I162" s="7"/>
      <c r="P162" s="7"/>
    </row>
    <row r="163" spans="9:16" x14ac:dyDescent="0.35">
      <c r="I163" s="7"/>
      <c r="P163" s="7"/>
    </row>
    <row r="164" spans="9:16" x14ac:dyDescent="0.35">
      <c r="I164" s="7"/>
      <c r="P164" s="7"/>
    </row>
    <row r="165" spans="9:16" x14ac:dyDescent="0.35">
      <c r="I165" s="7"/>
      <c r="P165" s="7"/>
    </row>
    <row r="166" spans="9:16" x14ac:dyDescent="0.35">
      <c r="I166" s="7"/>
      <c r="P166" s="7"/>
    </row>
    <row r="167" spans="9:16" x14ac:dyDescent="0.35">
      <c r="I167" s="7"/>
      <c r="P167" s="7"/>
    </row>
    <row r="168" spans="9:16" x14ac:dyDescent="0.35">
      <c r="I168" s="7"/>
      <c r="P168" s="7"/>
    </row>
    <row r="169" spans="9:16" x14ac:dyDescent="0.35">
      <c r="I169" s="7"/>
      <c r="P169" s="7"/>
    </row>
    <row r="170" spans="9:16" x14ac:dyDescent="0.35">
      <c r="I170" s="7"/>
      <c r="P170" s="7"/>
    </row>
    <row r="171" spans="9:16" x14ac:dyDescent="0.35">
      <c r="I171" s="7"/>
      <c r="P171" s="7"/>
    </row>
    <row r="172" spans="9:16" x14ac:dyDescent="0.35">
      <c r="I172" s="7"/>
      <c r="P172" s="7"/>
    </row>
    <row r="173" spans="9:16" x14ac:dyDescent="0.35">
      <c r="I173" s="7"/>
      <c r="P173" s="7"/>
    </row>
    <row r="174" spans="9:16" x14ac:dyDescent="0.35">
      <c r="I174" s="7"/>
      <c r="P174" s="7"/>
    </row>
    <row r="175" spans="9:16" x14ac:dyDescent="0.35">
      <c r="I175" s="7"/>
      <c r="P175" s="7"/>
    </row>
    <row r="176" spans="9:16" x14ac:dyDescent="0.35">
      <c r="I176" s="7"/>
      <c r="P176" s="7"/>
    </row>
    <row r="177" spans="9:16" x14ac:dyDescent="0.35">
      <c r="I177" s="7"/>
      <c r="P177" s="7"/>
    </row>
    <row r="178" spans="9:16" x14ac:dyDescent="0.35">
      <c r="I178" s="7"/>
      <c r="P178" s="7"/>
    </row>
    <row r="179" spans="9:16" x14ac:dyDescent="0.35">
      <c r="I179" s="7"/>
      <c r="P179" s="7"/>
    </row>
    <row r="180" spans="9:16" x14ac:dyDescent="0.35">
      <c r="I180" s="7"/>
      <c r="P180" s="7"/>
    </row>
    <row r="181" spans="9:16" x14ac:dyDescent="0.35">
      <c r="I181" s="7"/>
      <c r="P181" s="7"/>
    </row>
    <row r="182" spans="9:16" x14ac:dyDescent="0.35">
      <c r="I182" s="7"/>
      <c r="P182" s="7"/>
    </row>
    <row r="183" spans="9:16" x14ac:dyDescent="0.35">
      <c r="I183" s="7"/>
      <c r="P183" s="7"/>
    </row>
    <row r="184" spans="9:16" x14ac:dyDescent="0.35">
      <c r="I184" s="7"/>
      <c r="P184" s="7"/>
    </row>
    <row r="185" spans="9:16" x14ac:dyDescent="0.35">
      <c r="I185" s="7"/>
      <c r="P185" s="7"/>
    </row>
    <row r="186" spans="9:16" x14ac:dyDescent="0.35">
      <c r="I186" s="7"/>
      <c r="P186" s="7"/>
    </row>
    <row r="187" spans="9:16" x14ac:dyDescent="0.35">
      <c r="I187" s="7"/>
      <c r="P187" s="7"/>
    </row>
    <row r="188" spans="9:16" x14ac:dyDescent="0.35">
      <c r="I188" s="7"/>
      <c r="P188" s="7"/>
    </row>
    <row r="189" spans="9:16" x14ac:dyDescent="0.35">
      <c r="I189" s="7"/>
      <c r="P189" s="7"/>
    </row>
    <row r="190" spans="9:16" x14ac:dyDescent="0.35">
      <c r="I190" s="7"/>
      <c r="P190" s="7"/>
    </row>
    <row r="191" spans="9:16" x14ac:dyDescent="0.35">
      <c r="I191" s="7"/>
      <c r="P191" s="7"/>
    </row>
    <row r="192" spans="9:16" x14ac:dyDescent="0.35">
      <c r="I192" s="7"/>
      <c r="P192" s="7"/>
    </row>
    <row r="193" spans="9:16" x14ac:dyDescent="0.35">
      <c r="I193" s="7"/>
      <c r="P193" s="7"/>
    </row>
    <row r="194" spans="9:16" x14ac:dyDescent="0.35">
      <c r="I194" s="7"/>
      <c r="P194" s="7"/>
    </row>
    <row r="195" spans="9:16" x14ac:dyDescent="0.35">
      <c r="I195" s="7"/>
      <c r="P195" s="7"/>
    </row>
    <row r="196" spans="9:16" x14ac:dyDescent="0.35">
      <c r="I196" s="7"/>
      <c r="P196" s="7"/>
    </row>
    <row r="197" spans="9:16" x14ac:dyDescent="0.35">
      <c r="I197" s="7"/>
      <c r="P197" s="7"/>
    </row>
    <row r="198" spans="9:16" x14ac:dyDescent="0.35">
      <c r="I198" s="7"/>
      <c r="P198" s="7"/>
    </row>
    <row r="199" spans="9:16" x14ac:dyDescent="0.35">
      <c r="I199" s="7"/>
      <c r="P199" s="7"/>
    </row>
    <row r="200" spans="9:16" x14ac:dyDescent="0.35">
      <c r="I200" s="7"/>
      <c r="P200" s="7"/>
    </row>
    <row r="201" spans="9:16" x14ac:dyDescent="0.35">
      <c r="I201" s="7"/>
      <c r="P201" s="7"/>
    </row>
    <row r="202" spans="9:16" x14ac:dyDescent="0.35">
      <c r="I202" s="7"/>
      <c r="P202" s="7"/>
    </row>
    <row r="203" spans="9:16" x14ac:dyDescent="0.35">
      <c r="I203" s="7"/>
      <c r="P203" s="7"/>
    </row>
    <row r="204" spans="9:16" x14ac:dyDescent="0.35">
      <c r="I204" s="7"/>
      <c r="P204" s="7"/>
    </row>
    <row r="205" spans="9:16" x14ac:dyDescent="0.35">
      <c r="I205" s="7"/>
      <c r="P205" s="7"/>
    </row>
    <row r="206" spans="9:16" x14ac:dyDescent="0.35">
      <c r="I206" s="7"/>
      <c r="P206" s="7"/>
    </row>
    <row r="207" spans="9:16" x14ac:dyDescent="0.35">
      <c r="I207" s="7"/>
      <c r="P207" s="7"/>
    </row>
    <row r="208" spans="9:16" x14ac:dyDescent="0.35">
      <c r="I208" s="7"/>
      <c r="P208" s="7"/>
    </row>
    <row r="209" spans="9:16" x14ac:dyDescent="0.35">
      <c r="I209" s="7"/>
      <c r="P209" s="7"/>
    </row>
    <row r="210" spans="9:16" x14ac:dyDescent="0.35">
      <c r="I210" s="7"/>
      <c r="P210" s="7"/>
    </row>
    <row r="211" spans="9:16" x14ac:dyDescent="0.35">
      <c r="I211" s="7"/>
      <c r="P211" s="7"/>
    </row>
    <row r="212" spans="9:16" x14ac:dyDescent="0.35">
      <c r="I212" s="7"/>
      <c r="P212" s="7"/>
    </row>
    <row r="213" spans="9:16" x14ac:dyDescent="0.35">
      <c r="I213" s="7"/>
      <c r="P213" s="7"/>
    </row>
    <row r="214" spans="9:16" x14ac:dyDescent="0.35">
      <c r="I214" s="7"/>
      <c r="P214" s="7"/>
    </row>
    <row r="215" spans="9:16" x14ac:dyDescent="0.35">
      <c r="I215" s="7"/>
      <c r="P215" s="7"/>
    </row>
    <row r="216" spans="9:16" x14ac:dyDescent="0.35">
      <c r="I216" s="7"/>
      <c r="P216" s="7"/>
    </row>
    <row r="217" spans="9:16" x14ac:dyDescent="0.35">
      <c r="I217" s="7"/>
      <c r="P217" s="7"/>
    </row>
    <row r="218" spans="9:16" x14ac:dyDescent="0.35">
      <c r="I218" s="7"/>
      <c r="P218" s="7"/>
    </row>
    <row r="219" spans="9:16" x14ac:dyDescent="0.35">
      <c r="I219" s="7"/>
      <c r="P219" s="7"/>
    </row>
    <row r="220" spans="9:16" x14ac:dyDescent="0.35">
      <c r="I220" s="7"/>
      <c r="P220" s="7"/>
    </row>
    <row r="221" spans="9:16" x14ac:dyDescent="0.35">
      <c r="I221" s="7"/>
      <c r="P221" s="7"/>
    </row>
    <row r="222" spans="9:16" x14ac:dyDescent="0.35">
      <c r="I222" s="7"/>
      <c r="P222" s="7"/>
    </row>
    <row r="223" spans="9:16" x14ac:dyDescent="0.35">
      <c r="I223" s="7"/>
      <c r="P223" s="7"/>
    </row>
    <row r="224" spans="9:16" x14ac:dyDescent="0.35">
      <c r="I224" s="7"/>
      <c r="P224" s="7"/>
    </row>
    <row r="225" spans="9:16" x14ac:dyDescent="0.35">
      <c r="I225" s="7"/>
      <c r="P225" s="7"/>
    </row>
    <row r="226" spans="9:16" x14ac:dyDescent="0.35">
      <c r="I226" s="7"/>
      <c r="P226" s="7"/>
    </row>
    <row r="227" spans="9:16" x14ac:dyDescent="0.35">
      <c r="I227" s="7"/>
      <c r="P227" s="7"/>
    </row>
    <row r="228" spans="9:16" x14ac:dyDescent="0.35">
      <c r="I228" s="7"/>
      <c r="P228" s="7"/>
    </row>
    <row r="229" spans="9:16" x14ac:dyDescent="0.35">
      <c r="I229" s="7"/>
      <c r="P229" s="7"/>
    </row>
    <row r="230" spans="9:16" x14ac:dyDescent="0.35">
      <c r="I230" s="7"/>
      <c r="P230" s="7"/>
    </row>
    <row r="231" spans="9:16" x14ac:dyDescent="0.35">
      <c r="I231" s="7"/>
      <c r="P231" s="7"/>
    </row>
    <row r="232" spans="9:16" x14ac:dyDescent="0.35">
      <c r="I232" s="7"/>
      <c r="P232" s="7"/>
    </row>
    <row r="233" spans="9:16" x14ac:dyDescent="0.35">
      <c r="I233" s="7"/>
      <c r="P233" s="7"/>
    </row>
    <row r="234" spans="9:16" x14ac:dyDescent="0.35">
      <c r="I234" s="7"/>
      <c r="P234" s="7"/>
    </row>
    <row r="235" spans="9:16" x14ac:dyDescent="0.35">
      <c r="I235" s="7"/>
      <c r="P235" s="7"/>
    </row>
    <row r="236" spans="9:16" x14ac:dyDescent="0.35">
      <c r="I236" s="7"/>
      <c r="P236" s="7"/>
    </row>
    <row r="237" spans="9:16" x14ac:dyDescent="0.35">
      <c r="I237" s="7"/>
      <c r="P237" s="7"/>
    </row>
    <row r="238" spans="9:16" x14ac:dyDescent="0.35">
      <c r="I238" s="7"/>
      <c r="P238" s="7"/>
    </row>
    <row r="239" spans="9:16" x14ac:dyDescent="0.35">
      <c r="I239" s="7"/>
      <c r="P239" s="7"/>
    </row>
    <row r="240" spans="9:16" x14ac:dyDescent="0.35">
      <c r="I240" s="7"/>
      <c r="P240" s="7"/>
    </row>
    <row r="241" spans="9:16" x14ac:dyDescent="0.35">
      <c r="I241" s="7"/>
      <c r="P241" s="7"/>
    </row>
    <row r="242" spans="9:16" x14ac:dyDescent="0.35">
      <c r="I242" s="7"/>
      <c r="P242" s="7"/>
    </row>
    <row r="243" spans="9:16" x14ac:dyDescent="0.35">
      <c r="I243" s="7"/>
      <c r="P243" s="7"/>
    </row>
    <row r="244" spans="9:16" x14ac:dyDescent="0.35">
      <c r="I244" s="7"/>
      <c r="P244" s="7"/>
    </row>
    <row r="245" spans="9:16" x14ac:dyDescent="0.35">
      <c r="I245" s="7"/>
      <c r="P245" s="7"/>
    </row>
    <row r="246" spans="9:16" x14ac:dyDescent="0.35">
      <c r="I246" s="7"/>
      <c r="P246" s="7"/>
    </row>
    <row r="247" spans="9:16" x14ac:dyDescent="0.35">
      <c r="I247" s="7"/>
      <c r="P247" s="7"/>
    </row>
    <row r="248" spans="9:16" x14ac:dyDescent="0.35">
      <c r="I248" s="7"/>
      <c r="P248" s="7"/>
    </row>
    <row r="249" spans="9:16" x14ac:dyDescent="0.35">
      <c r="I249" s="7"/>
      <c r="P249" s="7"/>
    </row>
    <row r="250" spans="9:16" x14ac:dyDescent="0.35">
      <c r="I250" s="7"/>
      <c r="P250" s="7"/>
    </row>
    <row r="251" spans="9:16" x14ac:dyDescent="0.35">
      <c r="I251" s="7"/>
      <c r="P251" s="7"/>
    </row>
    <row r="252" spans="9:16" x14ac:dyDescent="0.35">
      <c r="I252" s="7"/>
      <c r="P252" s="7"/>
    </row>
    <row r="253" spans="9:16" x14ac:dyDescent="0.35">
      <c r="I253" s="7"/>
      <c r="P253" s="7"/>
    </row>
    <row r="254" spans="9:16" x14ac:dyDescent="0.35">
      <c r="I254" s="7"/>
      <c r="P254" s="7"/>
    </row>
    <row r="255" spans="9:16" x14ac:dyDescent="0.35">
      <c r="I255" s="7"/>
      <c r="P255" s="7"/>
    </row>
    <row r="256" spans="9:16" x14ac:dyDescent="0.35">
      <c r="I256" s="7"/>
      <c r="P256" s="7"/>
    </row>
    <row r="257" spans="9:16" x14ac:dyDescent="0.35">
      <c r="I257" s="7"/>
      <c r="P257" s="7"/>
    </row>
    <row r="258" spans="9:16" x14ac:dyDescent="0.35">
      <c r="I258" s="7"/>
      <c r="P258" s="7"/>
    </row>
    <row r="259" spans="9:16" x14ac:dyDescent="0.35">
      <c r="I259" s="7"/>
      <c r="P259" s="7"/>
    </row>
    <row r="260" spans="9:16" x14ac:dyDescent="0.35">
      <c r="I260" s="7"/>
      <c r="P260" s="7"/>
    </row>
    <row r="261" spans="9:16" x14ac:dyDescent="0.35">
      <c r="I261" s="7"/>
      <c r="P261" s="7"/>
    </row>
    <row r="262" spans="9:16" x14ac:dyDescent="0.35">
      <c r="I262" s="7"/>
      <c r="P262" s="7"/>
    </row>
    <row r="263" spans="9:16" x14ac:dyDescent="0.35">
      <c r="I263" s="7"/>
      <c r="P263" s="7"/>
    </row>
    <row r="264" spans="9:16" x14ac:dyDescent="0.35">
      <c r="I264" s="7"/>
      <c r="P264" s="7"/>
    </row>
    <row r="265" spans="9:16" x14ac:dyDescent="0.35">
      <c r="I265" s="7"/>
      <c r="P265" s="7"/>
    </row>
    <row r="266" spans="9:16" x14ac:dyDescent="0.35">
      <c r="I266" s="7"/>
      <c r="P266" s="7"/>
    </row>
    <row r="267" spans="9:16" x14ac:dyDescent="0.35">
      <c r="I267" s="7"/>
      <c r="P267" s="7"/>
    </row>
    <row r="268" spans="9:16" x14ac:dyDescent="0.35">
      <c r="I268" s="7"/>
      <c r="P268" s="7"/>
    </row>
    <row r="269" spans="9:16" x14ac:dyDescent="0.35">
      <c r="I269" s="7"/>
      <c r="P269" s="7"/>
    </row>
    <row r="270" spans="9:16" x14ac:dyDescent="0.35">
      <c r="I270" s="7"/>
      <c r="P270" s="7"/>
    </row>
    <row r="271" spans="9:16" x14ac:dyDescent="0.35">
      <c r="I271" s="7"/>
      <c r="P271" s="7"/>
    </row>
    <row r="272" spans="9:16" x14ac:dyDescent="0.35">
      <c r="I272" s="7"/>
      <c r="P272" s="7"/>
    </row>
    <row r="273" spans="9:16" x14ac:dyDescent="0.35">
      <c r="I273" s="7"/>
      <c r="P273" s="7"/>
    </row>
    <row r="274" spans="9:16" x14ac:dyDescent="0.35">
      <c r="I274" s="7"/>
      <c r="P274" s="7"/>
    </row>
    <row r="275" spans="9:16" x14ac:dyDescent="0.35">
      <c r="I275" s="7"/>
      <c r="P275" s="7"/>
    </row>
    <row r="276" spans="9:16" x14ac:dyDescent="0.35">
      <c r="I276" s="7"/>
      <c r="P276" s="7"/>
    </row>
    <row r="277" spans="9:16" x14ac:dyDescent="0.35">
      <c r="I277" s="7"/>
      <c r="P277" s="7"/>
    </row>
    <row r="278" spans="9:16" x14ac:dyDescent="0.35">
      <c r="I278" s="7"/>
      <c r="P278" s="7"/>
    </row>
    <row r="279" spans="9:16" x14ac:dyDescent="0.35">
      <c r="I279" s="7"/>
      <c r="P279" s="7"/>
    </row>
    <row r="280" spans="9:16" x14ac:dyDescent="0.35">
      <c r="I280" s="7"/>
      <c r="P280" s="7"/>
    </row>
    <row r="281" spans="9:16" x14ac:dyDescent="0.35">
      <c r="I281" s="7"/>
      <c r="P281" s="7"/>
    </row>
    <row r="282" spans="9:16" x14ac:dyDescent="0.35">
      <c r="I282" s="7"/>
      <c r="P282" s="7"/>
    </row>
    <row r="283" spans="9:16" x14ac:dyDescent="0.35">
      <c r="I283" s="7"/>
      <c r="P283" s="7"/>
    </row>
    <row r="284" spans="9:16" x14ac:dyDescent="0.35">
      <c r="I284" s="7"/>
      <c r="P284" s="7"/>
    </row>
    <row r="285" spans="9:16" x14ac:dyDescent="0.35">
      <c r="I285" s="7"/>
      <c r="P285" s="7"/>
    </row>
    <row r="286" spans="9:16" x14ac:dyDescent="0.35">
      <c r="I286" s="7"/>
      <c r="P286" s="7"/>
    </row>
    <row r="287" spans="9:16" x14ac:dyDescent="0.35">
      <c r="I287" s="7"/>
      <c r="P287" s="7"/>
    </row>
    <row r="288" spans="9:16" x14ac:dyDescent="0.35">
      <c r="I288" s="7"/>
      <c r="P288" s="7"/>
    </row>
    <row r="289" spans="9:16" x14ac:dyDescent="0.35">
      <c r="I289" s="7"/>
      <c r="P289" s="7"/>
    </row>
    <row r="290" spans="9:16" x14ac:dyDescent="0.35">
      <c r="I290" s="7"/>
      <c r="P290" s="7"/>
    </row>
    <row r="291" spans="9:16" x14ac:dyDescent="0.35">
      <c r="I291" s="7"/>
      <c r="P291" s="7"/>
    </row>
    <row r="292" spans="9:16" x14ac:dyDescent="0.35">
      <c r="I292" s="7"/>
      <c r="P292" s="7"/>
    </row>
    <row r="293" spans="9:16" x14ac:dyDescent="0.35">
      <c r="I293" s="7"/>
      <c r="P293" s="7"/>
    </row>
    <row r="294" spans="9:16" x14ac:dyDescent="0.35">
      <c r="I294" s="7"/>
      <c r="P294" s="7"/>
    </row>
    <row r="295" spans="9:16" x14ac:dyDescent="0.35">
      <c r="I295" s="7"/>
      <c r="P295" s="7"/>
    </row>
    <row r="296" spans="9:16" x14ac:dyDescent="0.35">
      <c r="I296" s="7"/>
      <c r="P296" s="7"/>
    </row>
    <row r="297" spans="9:16" x14ac:dyDescent="0.35">
      <c r="I297" s="7"/>
      <c r="P297" s="7"/>
    </row>
    <row r="298" spans="9:16" x14ac:dyDescent="0.35">
      <c r="I298" s="7"/>
      <c r="P298" s="7"/>
    </row>
    <row r="299" spans="9:16" x14ac:dyDescent="0.35">
      <c r="I299" s="7"/>
      <c r="P299" s="7"/>
    </row>
    <row r="300" spans="9:16" x14ac:dyDescent="0.35">
      <c r="I300" s="7"/>
      <c r="P300" s="7"/>
    </row>
    <row r="301" spans="9:16" x14ac:dyDescent="0.35">
      <c r="I301" s="7"/>
      <c r="P301" s="7"/>
    </row>
    <row r="302" spans="9:16" x14ac:dyDescent="0.35">
      <c r="I302" s="7"/>
      <c r="P302" s="7"/>
    </row>
    <row r="303" spans="9:16" x14ac:dyDescent="0.35">
      <c r="I303" s="7"/>
      <c r="P303" s="7"/>
    </row>
    <row r="304" spans="9:16" x14ac:dyDescent="0.35">
      <c r="I304" s="7"/>
      <c r="P304" s="7"/>
    </row>
    <row r="305" spans="9:16" x14ac:dyDescent="0.35">
      <c r="I305" s="7"/>
      <c r="P305" s="7"/>
    </row>
    <row r="306" spans="9:16" x14ac:dyDescent="0.35">
      <c r="I306" s="7"/>
      <c r="P306" s="7"/>
    </row>
    <row r="307" spans="9:16" x14ac:dyDescent="0.35">
      <c r="I307" s="7"/>
      <c r="P307" s="7"/>
    </row>
    <row r="308" spans="9:16" x14ac:dyDescent="0.35">
      <c r="I308" s="7"/>
      <c r="P308" s="7"/>
    </row>
    <row r="309" spans="9:16" x14ac:dyDescent="0.35">
      <c r="I309" s="7"/>
      <c r="P309" s="7"/>
    </row>
    <row r="310" spans="9:16" x14ac:dyDescent="0.35">
      <c r="I310" s="7"/>
      <c r="P310" s="7"/>
    </row>
    <row r="311" spans="9:16" x14ac:dyDescent="0.35">
      <c r="I311" s="7"/>
      <c r="P311" s="7"/>
    </row>
    <row r="312" spans="9:16" x14ac:dyDescent="0.35">
      <c r="I312" s="7"/>
      <c r="P312" s="7"/>
    </row>
    <row r="313" spans="9:16" x14ac:dyDescent="0.35">
      <c r="I313" s="7"/>
      <c r="P313" s="7"/>
    </row>
    <row r="314" spans="9:16" x14ac:dyDescent="0.35">
      <c r="I314" s="7"/>
      <c r="P314" s="7"/>
    </row>
    <row r="315" spans="9:16" x14ac:dyDescent="0.35">
      <c r="I315" s="7"/>
      <c r="P315" s="7"/>
    </row>
    <row r="316" spans="9:16" x14ac:dyDescent="0.35">
      <c r="I316" s="7"/>
      <c r="P316" s="7"/>
    </row>
    <row r="317" spans="9:16" x14ac:dyDescent="0.35">
      <c r="I317" s="7"/>
      <c r="P317" s="7"/>
    </row>
    <row r="318" spans="9:16" x14ac:dyDescent="0.35">
      <c r="I318" s="7"/>
      <c r="P318" s="7"/>
    </row>
    <row r="319" spans="9:16" x14ac:dyDescent="0.35">
      <c r="I319" s="7"/>
      <c r="P319" s="7"/>
    </row>
    <row r="320" spans="9:16" x14ac:dyDescent="0.35">
      <c r="I320" s="7"/>
      <c r="P320" s="7"/>
    </row>
    <row r="321" spans="9:16" x14ac:dyDescent="0.35">
      <c r="I321" s="7"/>
      <c r="P321" s="7"/>
    </row>
    <row r="322" spans="9:16" x14ac:dyDescent="0.35">
      <c r="I322" s="7"/>
      <c r="P322" s="7"/>
    </row>
    <row r="323" spans="9:16" x14ac:dyDescent="0.35">
      <c r="I323" s="7"/>
      <c r="P323" s="7"/>
    </row>
    <row r="324" spans="9:16" x14ac:dyDescent="0.35">
      <c r="I324" s="7"/>
      <c r="P324" s="7"/>
    </row>
    <row r="325" spans="9:16" x14ac:dyDescent="0.35">
      <c r="I325" s="7"/>
      <c r="P325" s="7"/>
    </row>
    <row r="326" spans="9:16" x14ac:dyDescent="0.35">
      <c r="I326" s="7"/>
      <c r="P326" s="7"/>
    </row>
    <row r="327" spans="9:16" x14ac:dyDescent="0.35">
      <c r="I327" s="7"/>
      <c r="P327" s="7"/>
    </row>
    <row r="328" spans="9:16" x14ac:dyDescent="0.35">
      <c r="I328" s="7"/>
      <c r="P328" s="7"/>
    </row>
    <row r="329" spans="9:16" x14ac:dyDescent="0.35">
      <c r="I329" s="7"/>
      <c r="P329" s="7"/>
    </row>
    <row r="330" spans="9:16" x14ac:dyDescent="0.35">
      <c r="I330" s="7"/>
      <c r="P330" s="7"/>
    </row>
    <row r="331" spans="9:16" x14ac:dyDescent="0.35">
      <c r="I331" s="7"/>
      <c r="P331" s="7"/>
    </row>
    <row r="332" spans="9:16" x14ac:dyDescent="0.35">
      <c r="I332" s="7"/>
      <c r="P332" s="7"/>
    </row>
    <row r="333" spans="9:16" x14ac:dyDescent="0.35">
      <c r="I333" s="7"/>
      <c r="P333" s="7"/>
    </row>
    <row r="334" spans="9:16" x14ac:dyDescent="0.35">
      <c r="I334" s="7"/>
      <c r="P334" s="7"/>
    </row>
    <row r="335" spans="9:16" x14ac:dyDescent="0.35">
      <c r="I335" s="7"/>
      <c r="P335" s="7"/>
    </row>
    <row r="336" spans="9:16" x14ac:dyDescent="0.35">
      <c r="I336" s="7"/>
      <c r="P336" s="7"/>
    </row>
    <row r="337" spans="9:16" x14ac:dyDescent="0.35">
      <c r="I337" s="7"/>
      <c r="P337" s="7"/>
    </row>
    <row r="338" spans="9:16" x14ac:dyDescent="0.35">
      <c r="I338" s="7"/>
      <c r="P338" s="7"/>
    </row>
    <row r="339" spans="9:16" x14ac:dyDescent="0.35">
      <c r="I339" s="7"/>
      <c r="P339" s="7"/>
    </row>
    <row r="340" spans="9:16" x14ac:dyDescent="0.35">
      <c r="I340" s="7"/>
      <c r="P340" s="7"/>
    </row>
    <row r="341" spans="9:16" x14ac:dyDescent="0.35">
      <c r="I341" s="7"/>
      <c r="P341" s="7"/>
    </row>
    <row r="342" spans="9:16" x14ac:dyDescent="0.35">
      <c r="I342" s="7"/>
      <c r="P342" s="7"/>
    </row>
    <row r="343" spans="9:16" x14ac:dyDescent="0.35">
      <c r="I343" s="7"/>
      <c r="P343" s="7"/>
    </row>
    <row r="344" spans="9:16" x14ac:dyDescent="0.35">
      <c r="I344" s="7"/>
      <c r="P344" s="7"/>
    </row>
    <row r="345" spans="9:16" x14ac:dyDescent="0.35">
      <c r="I345" s="7"/>
      <c r="P345" s="7"/>
    </row>
    <row r="346" spans="9:16" x14ac:dyDescent="0.35">
      <c r="I346" s="7"/>
      <c r="P346" s="7"/>
    </row>
    <row r="347" spans="9:16" x14ac:dyDescent="0.35">
      <c r="I347" s="7"/>
      <c r="P347" s="7"/>
    </row>
    <row r="348" spans="9:16" x14ac:dyDescent="0.35">
      <c r="I348" s="7"/>
      <c r="P348" s="7"/>
    </row>
    <row r="349" spans="9:16" x14ac:dyDescent="0.35">
      <c r="I349" s="7"/>
      <c r="P349" s="7"/>
    </row>
    <row r="350" spans="9:16" x14ac:dyDescent="0.35">
      <c r="I350" s="7"/>
      <c r="P350" s="7"/>
    </row>
    <row r="351" spans="9:16" x14ac:dyDescent="0.35">
      <c r="I351" s="7"/>
      <c r="P351" s="7"/>
    </row>
    <row r="352" spans="9:16" x14ac:dyDescent="0.35">
      <c r="I352" s="7"/>
      <c r="P352" s="7"/>
    </row>
    <row r="353" spans="9:16" x14ac:dyDescent="0.35">
      <c r="I353" s="7"/>
      <c r="P353" s="7"/>
    </row>
    <row r="354" spans="9:16" x14ac:dyDescent="0.35">
      <c r="I354" s="7"/>
      <c r="P354" s="7"/>
    </row>
    <row r="355" spans="9:16" x14ac:dyDescent="0.35">
      <c r="I355" s="7"/>
      <c r="P355" s="7"/>
    </row>
    <row r="356" spans="9:16" x14ac:dyDescent="0.35">
      <c r="I356" s="7"/>
      <c r="P356" s="7"/>
    </row>
    <row r="357" spans="9:16" x14ac:dyDescent="0.35">
      <c r="I357" s="7"/>
      <c r="P357" s="7"/>
    </row>
    <row r="358" spans="9:16" x14ac:dyDescent="0.35">
      <c r="I358" s="7"/>
      <c r="P358" s="7"/>
    </row>
    <row r="359" spans="9:16" x14ac:dyDescent="0.35">
      <c r="I359" s="7"/>
      <c r="P359" s="7"/>
    </row>
    <row r="360" spans="9:16" x14ac:dyDescent="0.35">
      <c r="I360" s="7"/>
      <c r="P360" s="7"/>
    </row>
    <row r="361" spans="9:16" x14ac:dyDescent="0.35">
      <c r="I361" s="7"/>
      <c r="P361" s="7"/>
    </row>
    <row r="362" spans="9:16" x14ac:dyDescent="0.35">
      <c r="I362" s="7"/>
      <c r="P362" s="7"/>
    </row>
    <row r="363" spans="9:16" x14ac:dyDescent="0.35">
      <c r="I363" s="7"/>
      <c r="P363" s="7"/>
    </row>
    <row r="364" spans="9:16" x14ac:dyDescent="0.35">
      <c r="I364" s="7"/>
      <c r="P364" s="7"/>
    </row>
    <row r="365" spans="9:16" x14ac:dyDescent="0.35">
      <c r="I365" s="7"/>
      <c r="P365" s="7"/>
    </row>
    <row r="366" spans="9:16" x14ac:dyDescent="0.35">
      <c r="I366" s="7"/>
      <c r="P366" s="7"/>
    </row>
    <row r="367" spans="9:16" x14ac:dyDescent="0.35">
      <c r="I367" s="7"/>
      <c r="P367" s="7"/>
    </row>
    <row r="368" spans="9:16" x14ac:dyDescent="0.35">
      <c r="I368" s="7"/>
      <c r="P368" s="7"/>
    </row>
    <row r="369" spans="9:16" x14ac:dyDescent="0.35">
      <c r="I369" s="7"/>
      <c r="P369" s="7"/>
    </row>
    <row r="370" spans="9:16" x14ac:dyDescent="0.35">
      <c r="I370" s="7"/>
      <c r="P370" s="7"/>
    </row>
    <row r="371" spans="9:16" x14ac:dyDescent="0.35">
      <c r="I371" s="7"/>
      <c r="P371" s="7"/>
    </row>
    <row r="372" spans="9:16" x14ac:dyDescent="0.35">
      <c r="I372" s="7"/>
      <c r="P372" s="7"/>
    </row>
    <row r="373" spans="9:16" x14ac:dyDescent="0.35">
      <c r="I373" s="7"/>
      <c r="P373" s="7"/>
    </row>
    <row r="374" spans="9:16" x14ac:dyDescent="0.35">
      <c r="I374" s="7"/>
      <c r="P374" s="7"/>
    </row>
    <row r="375" spans="9:16" x14ac:dyDescent="0.35">
      <c r="I375" s="7"/>
      <c r="P375" s="7"/>
    </row>
    <row r="376" spans="9:16" x14ac:dyDescent="0.35">
      <c r="I376" s="7"/>
      <c r="P376" s="7"/>
    </row>
    <row r="377" spans="9:16" x14ac:dyDescent="0.35">
      <c r="I377" s="7"/>
      <c r="P377" s="7"/>
    </row>
    <row r="378" spans="9:16" x14ac:dyDescent="0.35">
      <c r="I378" s="7"/>
      <c r="P378" s="7"/>
    </row>
    <row r="379" spans="9:16" x14ac:dyDescent="0.35">
      <c r="I379" s="7"/>
      <c r="P379" s="7"/>
    </row>
    <row r="380" spans="9:16" x14ac:dyDescent="0.35">
      <c r="I380" s="7"/>
      <c r="P380" s="7"/>
    </row>
    <row r="381" spans="9:16" x14ac:dyDescent="0.35">
      <c r="I381" s="7"/>
      <c r="P381" s="7"/>
    </row>
    <row r="382" spans="9:16" x14ac:dyDescent="0.35">
      <c r="I382" s="7"/>
      <c r="P382" s="7"/>
    </row>
    <row r="383" spans="9:16" x14ac:dyDescent="0.35">
      <c r="I383" s="7"/>
      <c r="P383" s="7"/>
    </row>
    <row r="384" spans="9:16" x14ac:dyDescent="0.35">
      <c r="I384" s="7"/>
      <c r="P384" s="7"/>
    </row>
    <row r="385" spans="9:16" x14ac:dyDescent="0.35">
      <c r="I385" s="7"/>
      <c r="P385" s="7"/>
    </row>
    <row r="386" spans="9:16" x14ac:dyDescent="0.35">
      <c r="I386" s="7"/>
      <c r="P386" s="7"/>
    </row>
    <row r="387" spans="9:16" x14ac:dyDescent="0.35">
      <c r="I387" s="7"/>
      <c r="P387" s="7"/>
    </row>
    <row r="388" spans="9:16" x14ac:dyDescent="0.35">
      <c r="I388" s="7"/>
      <c r="P388" s="7"/>
    </row>
    <row r="389" spans="9:16" x14ac:dyDescent="0.35">
      <c r="I389" s="7"/>
      <c r="P389" s="7"/>
    </row>
    <row r="390" spans="9:16" x14ac:dyDescent="0.35">
      <c r="I390" s="7"/>
      <c r="P390" s="7"/>
    </row>
    <row r="391" spans="9:16" x14ac:dyDescent="0.35">
      <c r="I391" s="7"/>
      <c r="P391" s="7"/>
    </row>
    <row r="392" spans="9:16" x14ac:dyDescent="0.35">
      <c r="I392" s="7"/>
      <c r="P392" s="7"/>
    </row>
    <row r="393" spans="9:16" x14ac:dyDescent="0.35">
      <c r="I393" s="7"/>
      <c r="P393" s="7"/>
    </row>
    <row r="394" spans="9:16" x14ac:dyDescent="0.35">
      <c r="I394" s="7"/>
      <c r="P394" s="7"/>
    </row>
    <row r="395" spans="9:16" x14ac:dyDescent="0.35">
      <c r="I395" s="7"/>
      <c r="P395" s="7"/>
    </row>
    <row r="396" spans="9:16" x14ac:dyDescent="0.35">
      <c r="I396" s="7"/>
      <c r="P396" s="7"/>
    </row>
    <row r="397" spans="9:16" x14ac:dyDescent="0.35">
      <c r="I397" s="7"/>
      <c r="P397" s="7"/>
    </row>
    <row r="398" spans="9:16" x14ac:dyDescent="0.35">
      <c r="I398" s="7"/>
      <c r="P398" s="7"/>
    </row>
    <row r="399" spans="9:16" x14ac:dyDescent="0.35">
      <c r="I399" s="7"/>
      <c r="P399" s="7"/>
    </row>
    <row r="400" spans="9:16" x14ac:dyDescent="0.35">
      <c r="I400" s="7"/>
      <c r="P400" s="7"/>
    </row>
    <row r="401" spans="9:16" x14ac:dyDescent="0.35">
      <c r="I401" s="7"/>
      <c r="P401" s="7"/>
    </row>
    <row r="402" spans="9:16" x14ac:dyDescent="0.35">
      <c r="I402" s="7"/>
      <c r="P402" s="7"/>
    </row>
    <row r="403" spans="9:16" x14ac:dyDescent="0.35">
      <c r="I403" s="7"/>
      <c r="P403" s="7"/>
    </row>
    <row r="404" spans="9:16" x14ac:dyDescent="0.35">
      <c r="I404" s="7"/>
      <c r="P404" s="7"/>
    </row>
    <row r="405" spans="9:16" x14ac:dyDescent="0.35">
      <c r="I405" s="7"/>
      <c r="P405" s="7"/>
    </row>
    <row r="406" spans="9:16" x14ac:dyDescent="0.35">
      <c r="I406" s="7"/>
      <c r="P406" s="7"/>
    </row>
    <row r="407" spans="9:16" x14ac:dyDescent="0.35">
      <c r="I407" s="7"/>
      <c r="P407" s="7"/>
    </row>
    <row r="408" spans="9:16" x14ac:dyDescent="0.35">
      <c r="I408" s="7"/>
      <c r="P408" s="7"/>
    </row>
    <row r="409" spans="9:16" x14ac:dyDescent="0.35">
      <c r="I409" s="7"/>
      <c r="P409" s="7"/>
    </row>
    <row r="410" spans="9:16" x14ac:dyDescent="0.35">
      <c r="I410" s="7"/>
      <c r="P410" s="7"/>
    </row>
    <row r="411" spans="9:16" x14ac:dyDescent="0.35">
      <c r="I411" s="7"/>
      <c r="P411" s="7"/>
    </row>
    <row r="412" spans="9:16" x14ac:dyDescent="0.35">
      <c r="I412" s="7"/>
      <c r="P412" s="7"/>
    </row>
    <row r="413" spans="9:16" x14ac:dyDescent="0.35">
      <c r="I413" s="7"/>
      <c r="P413" s="7"/>
    </row>
    <row r="414" spans="9:16" x14ac:dyDescent="0.35">
      <c r="I414" s="7"/>
      <c r="P414" s="7"/>
    </row>
    <row r="415" spans="9:16" x14ac:dyDescent="0.35">
      <c r="I415" s="7"/>
      <c r="P415" s="7"/>
    </row>
    <row r="416" spans="9:16" x14ac:dyDescent="0.35">
      <c r="I416" s="7"/>
      <c r="P416" s="7"/>
    </row>
    <row r="417" spans="9:16" x14ac:dyDescent="0.35">
      <c r="I417" s="7"/>
      <c r="P417" s="7"/>
    </row>
    <row r="418" spans="9:16" x14ac:dyDescent="0.35">
      <c r="I418" s="7"/>
      <c r="P418" s="7"/>
    </row>
    <row r="419" spans="9:16" x14ac:dyDescent="0.35">
      <c r="I419" s="7"/>
      <c r="P419" s="7"/>
    </row>
    <row r="420" spans="9:16" x14ac:dyDescent="0.35">
      <c r="I420" s="7"/>
      <c r="P420" s="7"/>
    </row>
    <row r="421" spans="9:16" x14ac:dyDescent="0.35">
      <c r="I421" s="7"/>
      <c r="P421" s="7"/>
    </row>
    <row r="422" spans="9:16" x14ac:dyDescent="0.35">
      <c r="I422" s="7"/>
      <c r="P422" s="7"/>
    </row>
    <row r="423" spans="9:16" x14ac:dyDescent="0.35">
      <c r="I423" s="7"/>
      <c r="P423" s="7"/>
    </row>
    <row r="424" spans="9:16" x14ac:dyDescent="0.35">
      <c r="I424" s="7"/>
      <c r="P424" s="7"/>
    </row>
    <row r="425" spans="9:16" x14ac:dyDescent="0.35">
      <c r="I425" s="7"/>
      <c r="P425" s="7"/>
    </row>
    <row r="426" spans="9:16" x14ac:dyDescent="0.35">
      <c r="I426" s="7"/>
      <c r="P426" s="7"/>
    </row>
    <row r="427" spans="9:16" x14ac:dyDescent="0.35">
      <c r="I427" s="7"/>
      <c r="P427" s="7"/>
    </row>
    <row r="428" spans="9:16" x14ac:dyDescent="0.35">
      <c r="I428" s="7"/>
      <c r="P428" s="7"/>
    </row>
    <row r="429" spans="9:16" x14ac:dyDescent="0.35">
      <c r="I429" s="7"/>
      <c r="P429" s="7"/>
    </row>
    <row r="430" spans="9:16" x14ac:dyDescent="0.35">
      <c r="I430" s="7"/>
      <c r="P430" s="7"/>
    </row>
    <row r="431" spans="9:16" x14ac:dyDescent="0.35">
      <c r="I431" s="7"/>
      <c r="P431" s="7"/>
    </row>
    <row r="432" spans="9:16" x14ac:dyDescent="0.35">
      <c r="I432" s="7"/>
      <c r="P432" s="7"/>
    </row>
    <row r="433" spans="9:16" x14ac:dyDescent="0.35">
      <c r="I433" s="7"/>
      <c r="P433" s="7"/>
    </row>
    <row r="434" spans="9:16" x14ac:dyDescent="0.35">
      <c r="I434" s="7"/>
      <c r="P434" s="7"/>
    </row>
    <row r="435" spans="9:16" x14ac:dyDescent="0.35">
      <c r="I435" s="7"/>
      <c r="P435" s="7"/>
    </row>
    <row r="436" spans="9:16" x14ac:dyDescent="0.35">
      <c r="I436" s="7"/>
      <c r="P436" s="7"/>
    </row>
    <row r="437" spans="9:16" x14ac:dyDescent="0.35">
      <c r="I437" s="7"/>
      <c r="P437" s="7"/>
    </row>
    <row r="438" spans="9:16" x14ac:dyDescent="0.35">
      <c r="I438" s="7"/>
      <c r="P438" s="7"/>
    </row>
    <row r="439" spans="9:16" x14ac:dyDescent="0.35">
      <c r="I439" s="7"/>
      <c r="P439" s="7"/>
    </row>
    <row r="440" spans="9:16" x14ac:dyDescent="0.35">
      <c r="I440" s="7"/>
      <c r="P440" s="7"/>
    </row>
    <row r="441" spans="9:16" x14ac:dyDescent="0.35">
      <c r="I441" s="7"/>
      <c r="P441" s="7"/>
    </row>
    <row r="442" spans="9:16" x14ac:dyDescent="0.35">
      <c r="I442" s="7"/>
      <c r="P442" s="7"/>
    </row>
    <row r="443" spans="9:16" x14ac:dyDescent="0.35">
      <c r="I443" s="7"/>
      <c r="P443" s="7"/>
    </row>
    <row r="444" spans="9:16" x14ac:dyDescent="0.35">
      <c r="I444" s="7"/>
      <c r="P444" s="7"/>
    </row>
    <row r="445" spans="9:16" x14ac:dyDescent="0.35">
      <c r="I445" s="7"/>
      <c r="P445" s="7"/>
    </row>
    <row r="446" spans="9:16" x14ac:dyDescent="0.35">
      <c r="I446" s="7"/>
      <c r="P446" s="7"/>
    </row>
    <row r="447" spans="9:16" x14ac:dyDescent="0.35">
      <c r="I447" s="7"/>
      <c r="P447" s="7"/>
    </row>
    <row r="448" spans="9:16" x14ac:dyDescent="0.35">
      <c r="I448" s="7"/>
      <c r="P448" s="7"/>
    </row>
    <row r="449" spans="9:16" x14ac:dyDescent="0.35">
      <c r="I449" s="7"/>
      <c r="P449" s="7"/>
    </row>
    <row r="450" spans="9:16" x14ac:dyDescent="0.35">
      <c r="I450" s="7"/>
      <c r="P450" s="7"/>
    </row>
    <row r="451" spans="9:16" x14ac:dyDescent="0.35">
      <c r="I451" s="7"/>
      <c r="P451" s="7"/>
    </row>
    <row r="452" spans="9:16" x14ac:dyDescent="0.35">
      <c r="I452" s="7"/>
      <c r="P452" s="7"/>
    </row>
    <row r="453" spans="9:16" x14ac:dyDescent="0.35">
      <c r="I453" s="7"/>
      <c r="P453" s="7"/>
    </row>
    <row r="454" spans="9:16" x14ac:dyDescent="0.35">
      <c r="I454" s="7"/>
      <c r="P454" s="7"/>
    </row>
    <row r="455" spans="9:16" x14ac:dyDescent="0.35">
      <c r="I455" s="7"/>
      <c r="P455" s="7"/>
    </row>
    <row r="456" spans="9:16" x14ac:dyDescent="0.35">
      <c r="I456" s="7"/>
      <c r="P456" s="7"/>
    </row>
    <row r="457" spans="9:16" x14ac:dyDescent="0.35">
      <c r="I457" s="7"/>
      <c r="P457" s="7"/>
    </row>
    <row r="458" spans="9:16" x14ac:dyDescent="0.35">
      <c r="I458" s="7"/>
      <c r="P458" s="7"/>
    </row>
    <row r="459" spans="9:16" x14ac:dyDescent="0.35">
      <c r="I459" s="7"/>
      <c r="P459" s="7"/>
    </row>
    <row r="460" spans="9:16" x14ac:dyDescent="0.35">
      <c r="I460" s="7"/>
      <c r="P460" s="7"/>
    </row>
    <row r="461" spans="9:16" x14ac:dyDescent="0.35">
      <c r="I461" s="7"/>
      <c r="P461" s="7"/>
    </row>
    <row r="462" spans="9:16" x14ac:dyDescent="0.35">
      <c r="I462" s="7"/>
      <c r="P462" s="7"/>
    </row>
    <row r="463" spans="9:16" x14ac:dyDescent="0.35">
      <c r="I463" s="7"/>
      <c r="P463" s="7"/>
    </row>
    <row r="464" spans="9:16" x14ac:dyDescent="0.35">
      <c r="I464" s="7"/>
      <c r="P464" s="7"/>
    </row>
    <row r="465" spans="9:16" x14ac:dyDescent="0.35">
      <c r="I465" s="7"/>
      <c r="P465" s="7"/>
    </row>
    <row r="466" spans="9:16" x14ac:dyDescent="0.35">
      <c r="I466" s="7"/>
      <c r="P466" s="7"/>
    </row>
    <row r="467" spans="9:16" x14ac:dyDescent="0.35">
      <c r="I467" s="7"/>
      <c r="P467" s="7"/>
    </row>
    <row r="468" spans="9:16" x14ac:dyDescent="0.35">
      <c r="I468" s="7"/>
      <c r="P468" s="7"/>
    </row>
    <row r="469" spans="9:16" x14ac:dyDescent="0.35">
      <c r="I469" s="7"/>
      <c r="P469" s="7"/>
    </row>
    <row r="470" spans="9:16" x14ac:dyDescent="0.35">
      <c r="I470" s="7"/>
      <c r="P470" s="7"/>
    </row>
    <row r="471" spans="9:16" x14ac:dyDescent="0.35">
      <c r="I471" s="7"/>
      <c r="P471" s="7"/>
    </row>
    <row r="472" spans="9:16" x14ac:dyDescent="0.35">
      <c r="I472" s="7"/>
      <c r="P472" s="7"/>
    </row>
    <row r="473" spans="9:16" x14ac:dyDescent="0.35">
      <c r="I473" s="7"/>
      <c r="P473" s="7"/>
    </row>
    <row r="474" spans="9:16" x14ac:dyDescent="0.35">
      <c r="I474" s="7"/>
      <c r="P474" s="7"/>
    </row>
    <row r="475" spans="9:16" x14ac:dyDescent="0.35">
      <c r="I475" s="7"/>
      <c r="P475" s="7"/>
    </row>
    <row r="476" spans="9:16" x14ac:dyDescent="0.35">
      <c r="I476" s="7"/>
      <c r="P476" s="7"/>
    </row>
    <row r="477" spans="9:16" x14ac:dyDescent="0.35">
      <c r="I477" s="7"/>
      <c r="P477" s="7"/>
    </row>
    <row r="478" spans="9:16" x14ac:dyDescent="0.35">
      <c r="I478" s="7"/>
      <c r="P478" s="7"/>
    </row>
    <row r="479" spans="9:16" x14ac:dyDescent="0.35">
      <c r="I479" s="7"/>
      <c r="P479" s="7"/>
    </row>
    <row r="480" spans="9:16" x14ac:dyDescent="0.35">
      <c r="I480" s="7"/>
      <c r="P480" s="7"/>
    </row>
    <row r="481" spans="9:16" x14ac:dyDescent="0.35">
      <c r="I481" s="7"/>
      <c r="P481" s="7"/>
    </row>
    <row r="482" spans="9:16" x14ac:dyDescent="0.35">
      <c r="I482" s="7"/>
      <c r="P482" s="7"/>
    </row>
    <row r="483" spans="9:16" x14ac:dyDescent="0.35">
      <c r="I483" s="7"/>
      <c r="P483" s="7"/>
    </row>
    <row r="484" spans="9:16" x14ac:dyDescent="0.35">
      <c r="I484" s="7"/>
      <c r="P484" s="7"/>
    </row>
    <row r="485" spans="9:16" x14ac:dyDescent="0.35">
      <c r="I485" s="7"/>
      <c r="P485" s="7"/>
    </row>
    <row r="486" spans="9:16" x14ac:dyDescent="0.35">
      <c r="I486" s="7"/>
      <c r="P486" s="7"/>
    </row>
    <row r="487" spans="9:16" x14ac:dyDescent="0.35">
      <c r="I487" s="7"/>
      <c r="P487" s="7"/>
    </row>
    <row r="488" spans="9:16" x14ac:dyDescent="0.35">
      <c r="I488" s="7"/>
      <c r="P488" s="7"/>
    </row>
    <row r="489" spans="9:16" x14ac:dyDescent="0.35">
      <c r="I489" s="7"/>
      <c r="P489" s="7"/>
    </row>
    <row r="490" spans="9:16" x14ac:dyDescent="0.35">
      <c r="I490" s="7"/>
      <c r="P490" s="7"/>
    </row>
    <row r="491" spans="9:16" x14ac:dyDescent="0.35">
      <c r="I491" s="7"/>
      <c r="P491" s="7"/>
    </row>
    <row r="492" spans="9:16" x14ac:dyDescent="0.35">
      <c r="I492" s="7"/>
      <c r="P492" s="7"/>
    </row>
    <row r="493" spans="9:16" x14ac:dyDescent="0.35">
      <c r="I493" s="7"/>
      <c r="P493" s="7"/>
    </row>
    <row r="494" spans="9:16" x14ac:dyDescent="0.35">
      <c r="I494" s="7"/>
      <c r="P494" s="7"/>
    </row>
    <row r="495" spans="9:16" x14ac:dyDescent="0.35">
      <c r="I495" s="7"/>
      <c r="P495" s="7"/>
    </row>
    <row r="496" spans="9:16" x14ac:dyDescent="0.35">
      <c r="I496" s="7"/>
      <c r="P496" s="7"/>
    </row>
    <row r="497" spans="9:16" x14ac:dyDescent="0.35">
      <c r="I497" s="7"/>
      <c r="P497" s="7"/>
    </row>
    <row r="498" spans="9:16" x14ac:dyDescent="0.35">
      <c r="I498" s="7"/>
      <c r="P498" s="7"/>
    </row>
    <row r="499" spans="9:16" x14ac:dyDescent="0.35">
      <c r="I499" s="7"/>
      <c r="P499" s="7"/>
    </row>
    <row r="500" spans="9:16" x14ac:dyDescent="0.35">
      <c r="I500" s="7"/>
      <c r="P500" s="7"/>
    </row>
    <row r="501" spans="9:16" x14ac:dyDescent="0.35">
      <c r="I501" s="7"/>
      <c r="P501" s="7"/>
    </row>
    <row r="502" spans="9:16" x14ac:dyDescent="0.35">
      <c r="I502" s="7"/>
      <c r="P502" s="7"/>
    </row>
    <row r="503" spans="9:16" x14ac:dyDescent="0.35">
      <c r="I503" s="7"/>
      <c r="P503" s="7"/>
    </row>
    <row r="504" spans="9:16" x14ac:dyDescent="0.35">
      <c r="I504" s="7"/>
      <c r="P504" s="7"/>
    </row>
    <row r="505" spans="9:16" x14ac:dyDescent="0.35">
      <c r="I505" s="7"/>
      <c r="P505" s="7"/>
    </row>
    <row r="506" spans="9:16" x14ac:dyDescent="0.35">
      <c r="I506" s="7"/>
      <c r="P506" s="7"/>
    </row>
    <row r="507" spans="9:16" x14ac:dyDescent="0.35">
      <c r="I507" s="7"/>
      <c r="P507" s="7"/>
    </row>
    <row r="508" spans="9:16" x14ac:dyDescent="0.35">
      <c r="I508" s="7"/>
      <c r="P508" s="7"/>
    </row>
    <row r="509" spans="9:16" x14ac:dyDescent="0.35">
      <c r="I509" s="7"/>
      <c r="P509" s="7"/>
    </row>
    <row r="510" spans="9:16" x14ac:dyDescent="0.35">
      <c r="I510" s="7"/>
      <c r="P510" s="7"/>
    </row>
    <row r="511" spans="9:16" x14ac:dyDescent="0.35">
      <c r="I511" s="7"/>
      <c r="P511" s="7"/>
    </row>
    <row r="512" spans="9:16" x14ac:dyDescent="0.35">
      <c r="I512" s="7"/>
      <c r="P512" s="7"/>
    </row>
    <row r="513" spans="9:16" x14ac:dyDescent="0.35">
      <c r="I513" s="7"/>
      <c r="P513" s="7"/>
    </row>
    <row r="514" spans="9:16" x14ac:dyDescent="0.35">
      <c r="I514" s="7"/>
      <c r="P514" s="7"/>
    </row>
    <row r="515" spans="9:16" x14ac:dyDescent="0.35">
      <c r="I515" s="7"/>
      <c r="P515" s="7"/>
    </row>
    <row r="516" spans="9:16" x14ac:dyDescent="0.35">
      <c r="I516" s="7"/>
      <c r="P516" s="7"/>
    </row>
    <row r="517" spans="9:16" x14ac:dyDescent="0.35">
      <c r="I517" s="7"/>
      <c r="P517" s="7"/>
    </row>
    <row r="518" spans="9:16" x14ac:dyDescent="0.35">
      <c r="I518" s="7"/>
      <c r="P518" s="7"/>
    </row>
    <row r="519" spans="9:16" x14ac:dyDescent="0.35">
      <c r="I519" s="7"/>
      <c r="P519" s="7"/>
    </row>
    <row r="520" spans="9:16" x14ac:dyDescent="0.35">
      <c r="I520" s="7"/>
      <c r="P520" s="7"/>
    </row>
    <row r="521" spans="9:16" x14ac:dyDescent="0.35">
      <c r="I521" s="7"/>
      <c r="P521" s="7"/>
    </row>
    <row r="522" spans="9:16" x14ac:dyDescent="0.35">
      <c r="I522" s="7"/>
      <c r="P522" s="7"/>
    </row>
    <row r="523" spans="9:16" x14ac:dyDescent="0.35">
      <c r="I523" s="7"/>
      <c r="P523" s="7"/>
    </row>
    <row r="524" spans="9:16" x14ac:dyDescent="0.35">
      <c r="I524" s="7"/>
      <c r="P524" s="7"/>
    </row>
    <row r="525" spans="9:16" x14ac:dyDescent="0.35">
      <c r="I525" s="7"/>
      <c r="P525" s="7"/>
    </row>
    <row r="526" spans="9:16" x14ac:dyDescent="0.35">
      <c r="I526" s="7"/>
      <c r="P526" s="7"/>
    </row>
    <row r="527" spans="9:16" x14ac:dyDescent="0.35">
      <c r="I527" s="7"/>
      <c r="P527" s="7"/>
    </row>
    <row r="528" spans="9:16" x14ac:dyDescent="0.35">
      <c r="I528" s="7"/>
      <c r="P528" s="7"/>
    </row>
    <row r="529" spans="9:16" x14ac:dyDescent="0.35">
      <c r="I529" s="7"/>
      <c r="P529" s="7"/>
    </row>
    <row r="530" spans="9:16" x14ac:dyDescent="0.35">
      <c r="I530" s="7"/>
      <c r="P530" s="7"/>
    </row>
    <row r="531" spans="9:16" x14ac:dyDescent="0.35">
      <c r="I531" s="7"/>
      <c r="P531" s="7"/>
    </row>
    <row r="532" spans="9:16" x14ac:dyDescent="0.35">
      <c r="I532" s="7"/>
      <c r="P532" s="7"/>
    </row>
    <row r="533" spans="9:16" x14ac:dyDescent="0.35">
      <c r="I533" s="7"/>
      <c r="P533" s="7"/>
    </row>
    <row r="534" spans="9:16" x14ac:dyDescent="0.35">
      <c r="I534" s="7"/>
      <c r="P534" s="7"/>
    </row>
    <row r="535" spans="9:16" x14ac:dyDescent="0.35">
      <c r="I535" s="7"/>
      <c r="P535" s="7"/>
    </row>
    <row r="536" spans="9:16" x14ac:dyDescent="0.35">
      <c r="I536" s="7"/>
      <c r="P536" s="7"/>
    </row>
    <row r="537" spans="9:16" x14ac:dyDescent="0.35">
      <c r="I537" s="7"/>
      <c r="P537" s="7"/>
    </row>
    <row r="538" spans="9:16" x14ac:dyDescent="0.35">
      <c r="I538" s="7"/>
      <c r="P538" s="7"/>
    </row>
    <row r="539" spans="9:16" x14ac:dyDescent="0.35">
      <c r="I539" s="7"/>
      <c r="P539" s="7"/>
    </row>
    <row r="540" spans="9:16" x14ac:dyDescent="0.35">
      <c r="I540" s="7"/>
      <c r="P540" s="7"/>
    </row>
    <row r="541" spans="9:16" x14ac:dyDescent="0.35">
      <c r="I541" s="7"/>
      <c r="P541" s="7"/>
    </row>
    <row r="542" spans="9:16" x14ac:dyDescent="0.35">
      <c r="I542" s="7"/>
      <c r="P542" s="7"/>
    </row>
    <row r="543" spans="9:16" x14ac:dyDescent="0.35">
      <c r="I543" s="7"/>
      <c r="P543" s="7"/>
    </row>
    <row r="544" spans="9:16" x14ac:dyDescent="0.35">
      <c r="I544" s="7"/>
      <c r="P544" s="7"/>
    </row>
    <row r="545" spans="9:16" x14ac:dyDescent="0.35">
      <c r="I545" s="7"/>
      <c r="P545" s="7"/>
    </row>
    <row r="546" spans="9:16" x14ac:dyDescent="0.35">
      <c r="I546" s="7"/>
      <c r="P546" s="7"/>
    </row>
    <row r="547" spans="9:16" x14ac:dyDescent="0.35">
      <c r="I547" s="7"/>
      <c r="P547" s="7"/>
    </row>
    <row r="548" spans="9:16" x14ac:dyDescent="0.35">
      <c r="I548" s="7"/>
      <c r="P548" s="7"/>
    </row>
    <row r="549" spans="9:16" x14ac:dyDescent="0.35">
      <c r="I549" s="7"/>
      <c r="P549" s="7"/>
    </row>
    <row r="550" spans="9:16" x14ac:dyDescent="0.35">
      <c r="I550" s="7"/>
      <c r="P550" s="7"/>
    </row>
    <row r="551" spans="9:16" x14ac:dyDescent="0.35">
      <c r="I551" s="7"/>
      <c r="P551" s="7"/>
    </row>
    <row r="552" spans="9:16" x14ac:dyDescent="0.35">
      <c r="I552" s="7"/>
      <c r="P552" s="7"/>
    </row>
    <row r="553" spans="9:16" x14ac:dyDescent="0.35">
      <c r="I553" s="7"/>
      <c r="P553" s="7"/>
    </row>
    <row r="554" spans="9:16" x14ac:dyDescent="0.35">
      <c r="I554" s="7"/>
      <c r="P554" s="7"/>
    </row>
    <row r="555" spans="9:16" x14ac:dyDescent="0.35">
      <c r="I555" s="7"/>
      <c r="P555" s="7"/>
    </row>
    <row r="556" spans="9:16" x14ac:dyDescent="0.35">
      <c r="I556" s="7"/>
      <c r="P556" s="7"/>
    </row>
    <row r="557" spans="9:16" x14ac:dyDescent="0.35">
      <c r="I557" s="7"/>
      <c r="P557" s="7"/>
    </row>
    <row r="558" spans="9:16" x14ac:dyDescent="0.35">
      <c r="I558" s="7"/>
      <c r="P558" s="7"/>
    </row>
    <row r="559" spans="9:16" x14ac:dyDescent="0.35">
      <c r="I559" s="7"/>
      <c r="P559" s="7"/>
    </row>
    <row r="560" spans="9:16" x14ac:dyDescent="0.35">
      <c r="I560" s="7"/>
      <c r="P560" s="7"/>
    </row>
    <row r="561" spans="9:16" x14ac:dyDescent="0.35">
      <c r="I561" s="7"/>
      <c r="P561" s="7"/>
    </row>
    <row r="562" spans="9:16" x14ac:dyDescent="0.35">
      <c r="I562" s="7"/>
      <c r="P562" s="7"/>
    </row>
    <row r="563" spans="9:16" x14ac:dyDescent="0.35">
      <c r="I563" s="7"/>
      <c r="P563" s="7"/>
    </row>
    <row r="564" spans="9:16" x14ac:dyDescent="0.35">
      <c r="I564" s="7"/>
      <c r="P564" s="7"/>
    </row>
    <row r="565" spans="9:16" x14ac:dyDescent="0.35">
      <c r="I565" s="7"/>
      <c r="P565" s="7"/>
    </row>
    <row r="566" spans="9:16" x14ac:dyDescent="0.35">
      <c r="I566" s="7"/>
      <c r="P566" s="7"/>
    </row>
    <row r="567" spans="9:16" x14ac:dyDescent="0.35">
      <c r="I567" s="7"/>
      <c r="P567" s="7"/>
    </row>
    <row r="568" spans="9:16" x14ac:dyDescent="0.35">
      <c r="I568" s="7"/>
      <c r="P568" s="7"/>
    </row>
    <row r="569" spans="9:16" x14ac:dyDescent="0.35">
      <c r="I569" s="7"/>
      <c r="P569" s="7"/>
    </row>
    <row r="570" spans="9:16" x14ac:dyDescent="0.35">
      <c r="I570" s="7"/>
      <c r="P570" s="7"/>
    </row>
    <row r="571" spans="9:16" x14ac:dyDescent="0.35">
      <c r="I571" s="7"/>
      <c r="P571" s="7"/>
    </row>
    <row r="572" spans="9:16" x14ac:dyDescent="0.35">
      <c r="I572" s="7"/>
      <c r="P572" s="7"/>
    </row>
    <row r="573" spans="9:16" x14ac:dyDescent="0.35">
      <c r="I573" s="7"/>
      <c r="P573" s="7"/>
    </row>
    <row r="574" spans="9:16" x14ac:dyDescent="0.35">
      <c r="I574" s="7"/>
      <c r="P574" s="7"/>
    </row>
    <row r="575" spans="9:16" x14ac:dyDescent="0.35">
      <c r="I575" s="7"/>
      <c r="P575" s="7"/>
    </row>
    <row r="576" spans="9:16" x14ac:dyDescent="0.35">
      <c r="I576" s="7"/>
      <c r="P576" s="7"/>
    </row>
    <row r="577" spans="9:16" x14ac:dyDescent="0.35">
      <c r="I577" s="7"/>
      <c r="P577" s="7"/>
    </row>
    <row r="578" spans="9:16" x14ac:dyDescent="0.35">
      <c r="I578" s="7"/>
      <c r="P578" s="7"/>
    </row>
    <row r="579" spans="9:16" x14ac:dyDescent="0.35">
      <c r="I579" s="7"/>
      <c r="P579" s="7"/>
    </row>
    <row r="580" spans="9:16" x14ac:dyDescent="0.35">
      <c r="I580" s="7"/>
      <c r="P580" s="7"/>
    </row>
    <row r="581" spans="9:16" x14ac:dyDescent="0.35">
      <c r="I581" s="7"/>
      <c r="P581" s="7"/>
    </row>
    <row r="582" spans="9:16" x14ac:dyDescent="0.35">
      <c r="I582" s="7"/>
      <c r="P582" s="7"/>
    </row>
    <row r="583" spans="9:16" x14ac:dyDescent="0.35">
      <c r="I583" s="7"/>
      <c r="P583" s="7"/>
    </row>
    <row r="584" spans="9:16" x14ac:dyDescent="0.35">
      <c r="I584" s="7"/>
      <c r="P584" s="7"/>
    </row>
    <row r="585" spans="9:16" x14ac:dyDescent="0.35">
      <c r="I585" s="7"/>
      <c r="P585" s="7"/>
    </row>
    <row r="586" spans="9:16" x14ac:dyDescent="0.35">
      <c r="I586" s="7"/>
      <c r="P586" s="7"/>
    </row>
    <row r="587" spans="9:16" x14ac:dyDescent="0.35">
      <c r="I587" s="7"/>
      <c r="P587" s="7"/>
    </row>
    <row r="588" spans="9:16" x14ac:dyDescent="0.35">
      <c r="I588" s="7"/>
      <c r="P588" s="7"/>
    </row>
    <row r="589" spans="9:16" x14ac:dyDescent="0.35">
      <c r="I589" s="7"/>
      <c r="P589" s="7"/>
    </row>
    <row r="590" spans="9:16" x14ac:dyDescent="0.35">
      <c r="I590" s="7"/>
      <c r="P590" s="7"/>
    </row>
    <row r="591" spans="9:16" x14ac:dyDescent="0.35">
      <c r="I591" s="7"/>
      <c r="P591" s="7"/>
    </row>
    <row r="592" spans="9:16" x14ac:dyDescent="0.35">
      <c r="I592" s="7"/>
      <c r="P592" s="7"/>
    </row>
    <row r="593" spans="9:16" x14ac:dyDescent="0.35">
      <c r="I593" s="7"/>
      <c r="P593" s="7"/>
    </row>
    <row r="594" spans="9:16" x14ac:dyDescent="0.35">
      <c r="I594" s="7"/>
      <c r="P594" s="7"/>
    </row>
    <row r="595" spans="9:16" x14ac:dyDescent="0.35">
      <c r="I595" s="7"/>
      <c r="P595" s="7"/>
    </row>
    <row r="596" spans="9:16" x14ac:dyDescent="0.35">
      <c r="I596" s="7"/>
      <c r="P596" s="7"/>
    </row>
    <row r="597" spans="9:16" x14ac:dyDescent="0.35">
      <c r="I597" s="7"/>
      <c r="P597" s="7"/>
    </row>
    <row r="598" spans="9:16" x14ac:dyDescent="0.35">
      <c r="I598" s="7"/>
      <c r="P598" s="7"/>
    </row>
    <row r="599" spans="9:16" x14ac:dyDescent="0.35">
      <c r="I599" s="7"/>
      <c r="P599" s="7"/>
    </row>
    <row r="600" spans="9:16" x14ac:dyDescent="0.35">
      <c r="I600" s="7"/>
      <c r="P600" s="7"/>
    </row>
    <row r="601" spans="9:16" x14ac:dyDescent="0.35">
      <c r="I601" s="7"/>
      <c r="P601" s="7"/>
    </row>
    <row r="602" spans="9:16" x14ac:dyDescent="0.35">
      <c r="I602" s="7"/>
      <c r="P602" s="7"/>
    </row>
    <row r="603" spans="9:16" x14ac:dyDescent="0.35">
      <c r="I603" s="7"/>
      <c r="P603" s="7"/>
    </row>
    <row r="604" spans="9:16" x14ac:dyDescent="0.35">
      <c r="I604" s="7"/>
      <c r="P604" s="7"/>
    </row>
    <row r="605" spans="9:16" x14ac:dyDescent="0.35">
      <c r="I605" s="7"/>
      <c r="P605" s="7"/>
    </row>
    <row r="606" spans="9:16" x14ac:dyDescent="0.35">
      <c r="I606" s="7"/>
      <c r="P606" s="7"/>
    </row>
    <row r="607" spans="9:16" x14ac:dyDescent="0.35">
      <c r="I607" s="7"/>
      <c r="P607" s="7"/>
    </row>
    <row r="608" spans="9:16" x14ac:dyDescent="0.35">
      <c r="I608" s="7"/>
      <c r="P608" s="7"/>
    </row>
    <row r="609" spans="9:16" x14ac:dyDescent="0.35">
      <c r="I609" s="7"/>
      <c r="P609" s="7"/>
    </row>
    <row r="610" spans="9:16" x14ac:dyDescent="0.35">
      <c r="I610" s="7"/>
      <c r="P610" s="7"/>
    </row>
    <row r="611" spans="9:16" x14ac:dyDescent="0.35">
      <c r="I611" s="7"/>
      <c r="P611" s="7"/>
    </row>
    <row r="612" spans="9:16" x14ac:dyDescent="0.35">
      <c r="I612" s="7"/>
      <c r="P612" s="7"/>
    </row>
    <row r="613" spans="9:16" x14ac:dyDescent="0.35">
      <c r="I613" s="7"/>
      <c r="P613" s="7"/>
    </row>
    <row r="614" spans="9:16" x14ac:dyDescent="0.35">
      <c r="I614" s="7"/>
      <c r="P614" s="7"/>
    </row>
    <row r="615" spans="9:16" x14ac:dyDescent="0.35">
      <c r="I615" s="7"/>
      <c r="P615" s="7"/>
    </row>
    <row r="616" spans="9:16" x14ac:dyDescent="0.35">
      <c r="I616" s="7"/>
      <c r="P616" s="7"/>
    </row>
    <row r="617" spans="9:16" x14ac:dyDescent="0.35">
      <c r="I617" s="7"/>
      <c r="P617" s="7"/>
    </row>
    <row r="618" spans="9:16" x14ac:dyDescent="0.35">
      <c r="I618" s="7"/>
      <c r="P618" s="7"/>
    </row>
    <row r="619" spans="9:16" x14ac:dyDescent="0.35">
      <c r="I619" s="7"/>
      <c r="P619" s="7"/>
    </row>
    <row r="620" spans="9:16" x14ac:dyDescent="0.35">
      <c r="I620" s="7"/>
      <c r="P620" s="7"/>
    </row>
    <row r="621" spans="9:16" x14ac:dyDescent="0.35">
      <c r="I621" s="7"/>
      <c r="P621" s="7"/>
    </row>
    <row r="622" spans="9:16" x14ac:dyDescent="0.35">
      <c r="I622" s="7"/>
      <c r="P622" s="7"/>
    </row>
    <row r="623" spans="9:16" x14ac:dyDescent="0.35">
      <c r="I623" s="7"/>
      <c r="P623" s="7"/>
    </row>
    <row r="624" spans="9:16" x14ac:dyDescent="0.35">
      <c r="I624" s="7"/>
      <c r="P624" s="7"/>
    </row>
    <row r="625" spans="9:16" x14ac:dyDescent="0.35">
      <c r="I625" s="7"/>
      <c r="P625" s="7"/>
    </row>
    <row r="626" spans="9:16" x14ac:dyDescent="0.35">
      <c r="I626" s="7"/>
      <c r="P626" s="7"/>
    </row>
    <row r="627" spans="9:16" x14ac:dyDescent="0.35">
      <c r="I627" s="7"/>
      <c r="P627" s="7"/>
    </row>
    <row r="628" spans="9:16" x14ac:dyDescent="0.35">
      <c r="I628" s="7"/>
      <c r="P628" s="7"/>
    </row>
    <row r="629" spans="9:16" x14ac:dyDescent="0.35">
      <c r="I629" s="7"/>
      <c r="P629" s="7"/>
    </row>
    <row r="630" spans="9:16" x14ac:dyDescent="0.35">
      <c r="I630" s="7"/>
      <c r="P630" s="7"/>
    </row>
    <row r="631" spans="9:16" x14ac:dyDescent="0.35">
      <c r="I631" s="7"/>
      <c r="P631" s="7"/>
    </row>
    <row r="632" spans="9:16" x14ac:dyDescent="0.35">
      <c r="I632" s="7"/>
      <c r="P632" s="7"/>
    </row>
    <row r="633" spans="9:16" x14ac:dyDescent="0.35">
      <c r="I633" s="7"/>
      <c r="P633" s="7"/>
    </row>
    <row r="634" spans="9:16" x14ac:dyDescent="0.35">
      <c r="I634" s="7"/>
      <c r="P634" s="7"/>
    </row>
    <row r="635" spans="9:16" x14ac:dyDescent="0.35">
      <c r="I635" s="7"/>
      <c r="P635" s="7"/>
    </row>
    <row r="636" spans="9:16" x14ac:dyDescent="0.35">
      <c r="I636" s="7"/>
      <c r="P636" s="7"/>
    </row>
    <row r="637" spans="9:16" x14ac:dyDescent="0.35">
      <c r="I637" s="7"/>
      <c r="P637" s="7"/>
    </row>
    <row r="638" spans="9:16" x14ac:dyDescent="0.35">
      <c r="I638" s="7"/>
      <c r="P638" s="7"/>
    </row>
    <row r="639" spans="9:16" x14ac:dyDescent="0.35">
      <c r="I639" s="7"/>
      <c r="P639" s="7"/>
    </row>
    <row r="640" spans="9:16" x14ac:dyDescent="0.35">
      <c r="I640" s="7"/>
      <c r="P640" s="7"/>
    </row>
    <row r="641" spans="9:16" x14ac:dyDescent="0.35">
      <c r="I641" s="7"/>
      <c r="P641" s="7"/>
    </row>
    <row r="642" spans="9:16" x14ac:dyDescent="0.35">
      <c r="I642" s="7"/>
      <c r="P642" s="7"/>
    </row>
    <row r="643" spans="9:16" x14ac:dyDescent="0.35">
      <c r="I643" s="7"/>
      <c r="P643" s="7"/>
    </row>
    <row r="644" spans="9:16" x14ac:dyDescent="0.35">
      <c r="I644" s="7"/>
      <c r="P644" s="7"/>
    </row>
    <row r="645" spans="9:16" x14ac:dyDescent="0.35">
      <c r="I645" s="7"/>
      <c r="P645" s="7"/>
    </row>
    <row r="646" spans="9:16" x14ac:dyDescent="0.35">
      <c r="I646" s="7"/>
      <c r="P646" s="7"/>
    </row>
    <row r="647" spans="9:16" x14ac:dyDescent="0.35">
      <c r="I647" s="7"/>
      <c r="P647" s="7"/>
    </row>
    <row r="648" spans="9:16" x14ac:dyDescent="0.35">
      <c r="I648" s="7"/>
      <c r="P648" s="7"/>
    </row>
    <row r="649" spans="9:16" x14ac:dyDescent="0.35">
      <c r="I649" s="7"/>
      <c r="P649" s="7"/>
    </row>
    <row r="650" spans="9:16" x14ac:dyDescent="0.35">
      <c r="I650" s="7"/>
      <c r="P650" s="7"/>
    </row>
    <row r="651" spans="9:16" x14ac:dyDescent="0.35">
      <c r="I651" s="7"/>
      <c r="P651" s="7"/>
    </row>
    <row r="652" spans="9:16" x14ac:dyDescent="0.35">
      <c r="I652" s="7"/>
      <c r="P652" s="7"/>
    </row>
    <row r="653" spans="9:16" x14ac:dyDescent="0.35">
      <c r="I653" s="7"/>
      <c r="P653" s="7"/>
    </row>
    <row r="654" spans="9:16" x14ac:dyDescent="0.35">
      <c r="I654" s="7"/>
      <c r="P654" s="7"/>
    </row>
    <row r="655" spans="9:16" x14ac:dyDescent="0.35">
      <c r="I655" s="7"/>
      <c r="P655" s="7"/>
    </row>
    <row r="656" spans="9:16" x14ac:dyDescent="0.35">
      <c r="I656" s="7"/>
      <c r="P656" s="7"/>
    </row>
    <row r="657" spans="9:16" x14ac:dyDescent="0.35">
      <c r="I657" s="7"/>
      <c r="P657" s="7"/>
    </row>
    <row r="658" spans="9:16" x14ac:dyDescent="0.35">
      <c r="I658" s="7"/>
      <c r="P658" s="7"/>
    </row>
    <row r="659" spans="9:16" x14ac:dyDescent="0.35">
      <c r="I659" s="7"/>
      <c r="P659" s="7"/>
    </row>
    <row r="660" spans="9:16" x14ac:dyDescent="0.35">
      <c r="I660" s="7"/>
      <c r="P660" s="7"/>
    </row>
    <row r="661" spans="9:16" x14ac:dyDescent="0.35">
      <c r="I661" s="7"/>
      <c r="P661" s="7"/>
    </row>
    <row r="662" spans="9:16" x14ac:dyDescent="0.35">
      <c r="I662" s="7"/>
      <c r="P662" s="7"/>
    </row>
    <row r="663" spans="9:16" x14ac:dyDescent="0.35">
      <c r="I663" s="7"/>
      <c r="P663" s="7"/>
    </row>
    <row r="664" spans="9:16" x14ac:dyDescent="0.35">
      <c r="I664" s="7"/>
      <c r="P664" s="7"/>
    </row>
    <row r="665" spans="9:16" x14ac:dyDescent="0.35">
      <c r="I665" s="7"/>
      <c r="P665" s="7"/>
    </row>
    <row r="666" spans="9:16" x14ac:dyDescent="0.35">
      <c r="I666" s="7"/>
      <c r="P666" s="7"/>
    </row>
    <row r="667" spans="9:16" x14ac:dyDescent="0.35">
      <c r="I667" s="7"/>
      <c r="P667" s="7"/>
    </row>
    <row r="668" spans="9:16" x14ac:dyDescent="0.35">
      <c r="I668" s="7"/>
      <c r="P668" s="7"/>
    </row>
    <row r="669" spans="9:16" x14ac:dyDescent="0.35">
      <c r="I669" s="7"/>
      <c r="P669" s="7"/>
    </row>
    <row r="670" spans="9:16" x14ac:dyDescent="0.35">
      <c r="I670" s="7"/>
      <c r="P670" s="7"/>
    </row>
    <row r="671" spans="9:16" x14ac:dyDescent="0.35">
      <c r="I671" s="7"/>
      <c r="P671" s="7"/>
    </row>
    <row r="672" spans="9:16" x14ac:dyDescent="0.35">
      <c r="I672" s="7"/>
      <c r="P672" s="7"/>
    </row>
    <row r="673" spans="9:16" x14ac:dyDescent="0.35">
      <c r="I673" s="7"/>
      <c r="P673" s="7"/>
    </row>
    <row r="674" spans="9:16" x14ac:dyDescent="0.35">
      <c r="I674" s="7"/>
      <c r="P674" s="7"/>
    </row>
    <row r="675" spans="9:16" x14ac:dyDescent="0.35">
      <c r="I675" s="7"/>
      <c r="P675" s="7"/>
    </row>
    <row r="676" spans="9:16" x14ac:dyDescent="0.35">
      <c r="I676" s="7"/>
      <c r="P676" s="7"/>
    </row>
    <row r="677" spans="9:16" x14ac:dyDescent="0.35">
      <c r="I677" s="7"/>
      <c r="P677" s="7"/>
    </row>
    <row r="678" spans="9:16" x14ac:dyDescent="0.35">
      <c r="I678" s="7"/>
      <c r="P678" s="7"/>
    </row>
    <row r="679" spans="9:16" x14ac:dyDescent="0.35">
      <c r="I679" s="7"/>
      <c r="P679" s="7"/>
    </row>
    <row r="680" spans="9:16" x14ac:dyDescent="0.35">
      <c r="I680" s="7"/>
      <c r="P680" s="7"/>
    </row>
    <row r="681" spans="9:16" x14ac:dyDescent="0.35">
      <c r="I681" s="7"/>
      <c r="P681" s="7"/>
    </row>
    <row r="682" spans="9:16" x14ac:dyDescent="0.35">
      <c r="I682" s="7"/>
      <c r="P682" s="7"/>
    </row>
    <row r="683" spans="9:16" x14ac:dyDescent="0.35">
      <c r="I683" s="7"/>
      <c r="P683" s="7"/>
    </row>
    <row r="684" spans="9:16" x14ac:dyDescent="0.35">
      <c r="I684" s="7"/>
      <c r="P684" s="7"/>
    </row>
    <row r="685" spans="9:16" x14ac:dyDescent="0.35">
      <c r="I685" s="7"/>
      <c r="P685" s="7"/>
    </row>
    <row r="686" spans="9:16" x14ac:dyDescent="0.35">
      <c r="I686" s="7"/>
      <c r="P686" s="7"/>
    </row>
    <row r="687" spans="9:16" x14ac:dyDescent="0.35">
      <c r="I687" s="7"/>
      <c r="P687" s="7"/>
    </row>
    <row r="688" spans="9:16" x14ac:dyDescent="0.35">
      <c r="I688" s="7"/>
      <c r="P688" s="7"/>
    </row>
    <row r="689" spans="9:16" x14ac:dyDescent="0.35">
      <c r="I689" s="7"/>
      <c r="P689" s="7"/>
    </row>
    <row r="690" spans="9:16" x14ac:dyDescent="0.35">
      <c r="I690" s="7"/>
      <c r="P690" s="7"/>
    </row>
    <row r="691" spans="9:16" x14ac:dyDescent="0.35">
      <c r="I691" s="7"/>
      <c r="P691" s="7"/>
    </row>
    <row r="692" spans="9:16" x14ac:dyDescent="0.35">
      <c r="I692" s="7"/>
      <c r="P692" s="7"/>
    </row>
    <row r="693" spans="9:16" x14ac:dyDescent="0.35">
      <c r="I693" s="7"/>
      <c r="P693" s="7"/>
    </row>
    <row r="694" spans="9:16" x14ac:dyDescent="0.35">
      <c r="I694" s="7"/>
      <c r="P694" s="7"/>
    </row>
    <row r="695" spans="9:16" x14ac:dyDescent="0.35">
      <c r="I695" s="7"/>
      <c r="P695" s="7"/>
    </row>
    <row r="696" spans="9:16" x14ac:dyDescent="0.35">
      <c r="I696" s="7"/>
      <c r="P696" s="7"/>
    </row>
    <row r="697" spans="9:16" x14ac:dyDescent="0.35">
      <c r="I697" s="7"/>
      <c r="P697" s="7"/>
    </row>
    <row r="698" spans="9:16" x14ac:dyDescent="0.35">
      <c r="I698" s="7"/>
      <c r="P698" s="7"/>
    </row>
    <row r="699" spans="9:16" x14ac:dyDescent="0.35">
      <c r="I699" s="7"/>
      <c r="P699" s="7"/>
    </row>
    <row r="700" spans="9:16" x14ac:dyDescent="0.35">
      <c r="I700" s="7"/>
      <c r="P700" s="7"/>
    </row>
    <row r="701" spans="9:16" x14ac:dyDescent="0.35">
      <c r="I701" s="7"/>
      <c r="P701" s="7"/>
    </row>
    <row r="702" spans="9:16" x14ac:dyDescent="0.35">
      <c r="I702" s="7"/>
      <c r="P702" s="7"/>
    </row>
    <row r="703" spans="9:16" x14ac:dyDescent="0.35">
      <c r="I703" s="7"/>
      <c r="P703" s="7"/>
    </row>
    <row r="704" spans="9:16" x14ac:dyDescent="0.35">
      <c r="I704" s="7"/>
      <c r="P704" s="7"/>
    </row>
    <row r="705" spans="9:16" x14ac:dyDescent="0.35">
      <c r="I705" s="7"/>
      <c r="P705" s="7"/>
    </row>
    <row r="706" spans="9:16" x14ac:dyDescent="0.35">
      <c r="I706" s="7"/>
      <c r="P706" s="7"/>
    </row>
    <row r="707" spans="9:16" x14ac:dyDescent="0.35">
      <c r="I707" s="7"/>
      <c r="P707" s="7"/>
    </row>
    <row r="708" spans="9:16" x14ac:dyDescent="0.35">
      <c r="I708" s="7"/>
      <c r="P708" s="7"/>
    </row>
    <row r="709" spans="9:16" x14ac:dyDescent="0.35">
      <c r="I709" s="7"/>
      <c r="P709" s="7"/>
    </row>
    <row r="710" spans="9:16" x14ac:dyDescent="0.35">
      <c r="I710" s="7"/>
      <c r="P710" s="7"/>
    </row>
    <row r="711" spans="9:16" x14ac:dyDescent="0.35">
      <c r="I711" s="7"/>
      <c r="P711" s="7"/>
    </row>
    <row r="712" spans="9:16" x14ac:dyDescent="0.35">
      <c r="I712" s="7"/>
      <c r="P712" s="7"/>
    </row>
    <row r="713" spans="9:16" x14ac:dyDescent="0.35">
      <c r="I713" s="7"/>
      <c r="P713" s="7"/>
    </row>
    <row r="714" spans="9:16" x14ac:dyDescent="0.35">
      <c r="I714" s="7"/>
      <c r="P714" s="7"/>
    </row>
    <row r="715" spans="9:16" x14ac:dyDescent="0.35">
      <c r="I715" s="7"/>
      <c r="P715" s="7"/>
    </row>
    <row r="716" spans="9:16" x14ac:dyDescent="0.35">
      <c r="I716" s="7"/>
      <c r="P716" s="7"/>
    </row>
    <row r="717" spans="9:16" x14ac:dyDescent="0.35">
      <c r="I717" s="7"/>
      <c r="P717" s="7"/>
    </row>
    <row r="718" spans="9:16" x14ac:dyDescent="0.35">
      <c r="I718" s="7"/>
      <c r="P718" s="7"/>
    </row>
    <row r="719" spans="9:16" x14ac:dyDescent="0.35">
      <c r="I719" s="7"/>
      <c r="P719" s="7"/>
    </row>
    <row r="720" spans="9:16" x14ac:dyDescent="0.35">
      <c r="I720" s="7"/>
      <c r="P720" s="7"/>
    </row>
    <row r="721" spans="9:16" x14ac:dyDescent="0.35">
      <c r="I721" s="7"/>
      <c r="P721" s="7"/>
    </row>
    <row r="722" spans="9:16" x14ac:dyDescent="0.35">
      <c r="I722" s="7"/>
      <c r="P722" s="7"/>
    </row>
    <row r="723" spans="9:16" x14ac:dyDescent="0.35">
      <c r="I723" s="7"/>
      <c r="P723" s="7"/>
    </row>
    <row r="724" spans="9:16" x14ac:dyDescent="0.35">
      <c r="I724" s="7"/>
      <c r="P724" s="7"/>
    </row>
    <row r="725" spans="9:16" x14ac:dyDescent="0.35">
      <c r="I725" s="7"/>
      <c r="P725" s="7"/>
    </row>
    <row r="726" spans="9:16" x14ac:dyDescent="0.35">
      <c r="I726" s="7"/>
      <c r="P726" s="7"/>
    </row>
    <row r="727" spans="9:16" x14ac:dyDescent="0.35">
      <c r="I727" s="7"/>
      <c r="P727" s="7"/>
    </row>
    <row r="728" spans="9:16" x14ac:dyDescent="0.35">
      <c r="I728" s="7"/>
      <c r="P728" s="7"/>
    </row>
    <row r="729" spans="9:16" x14ac:dyDescent="0.35">
      <c r="I729" s="7"/>
      <c r="P729" s="7"/>
    </row>
    <row r="730" spans="9:16" x14ac:dyDescent="0.35">
      <c r="I730" s="7"/>
      <c r="P730" s="7"/>
    </row>
    <row r="731" spans="9:16" x14ac:dyDescent="0.35">
      <c r="I731" s="7"/>
      <c r="P731" s="7"/>
    </row>
    <row r="732" spans="9:16" x14ac:dyDescent="0.35">
      <c r="I732" s="7"/>
      <c r="P732" s="7"/>
    </row>
    <row r="733" spans="9:16" x14ac:dyDescent="0.35">
      <c r="I733" s="7"/>
      <c r="P733" s="7"/>
    </row>
    <row r="734" spans="9:16" x14ac:dyDescent="0.35">
      <c r="I734" s="7"/>
      <c r="P734" s="7"/>
    </row>
    <row r="735" spans="9:16" x14ac:dyDescent="0.35">
      <c r="I735" s="7"/>
      <c r="P735" s="7"/>
    </row>
    <row r="736" spans="9:16" x14ac:dyDescent="0.35">
      <c r="I736" s="7"/>
      <c r="P736" s="7"/>
    </row>
    <row r="737" spans="9:16" x14ac:dyDescent="0.35">
      <c r="I737" s="7"/>
      <c r="P737" s="7"/>
    </row>
    <row r="738" spans="9:16" x14ac:dyDescent="0.35">
      <c r="I738" s="7"/>
      <c r="P738" s="7"/>
    </row>
    <row r="739" spans="9:16" x14ac:dyDescent="0.35">
      <c r="I739" s="7"/>
      <c r="P739" s="7"/>
    </row>
    <row r="740" spans="9:16" x14ac:dyDescent="0.35">
      <c r="I740" s="7"/>
      <c r="P740" s="7"/>
    </row>
    <row r="741" spans="9:16" x14ac:dyDescent="0.35">
      <c r="I741" s="7"/>
      <c r="P741" s="7"/>
    </row>
    <row r="742" spans="9:16" x14ac:dyDescent="0.35">
      <c r="I742" s="7"/>
      <c r="P742" s="7"/>
    </row>
    <row r="743" spans="9:16" x14ac:dyDescent="0.35">
      <c r="I743" s="7"/>
      <c r="P743" s="7"/>
    </row>
    <row r="744" spans="9:16" x14ac:dyDescent="0.35">
      <c r="I744" s="7"/>
      <c r="P744" s="7"/>
    </row>
    <row r="745" spans="9:16" x14ac:dyDescent="0.35">
      <c r="I745" s="7"/>
      <c r="P745" s="7"/>
    </row>
    <row r="746" spans="9:16" x14ac:dyDescent="0.35">
      <c r="I746" s="7"/>
      <c r="P746" s="7"/>
    </row>
    <row r="747" spans="9:16" x14ac:dyDescent="0.35">
      <c r="I747" s="7"/>
      <c r="P747" s="7"/>
    </row>
    <row r="748" spans="9:16" x14ac:dyDescent="0.35">
      <c r="I748" s="7"/>
      <c r="P748" s="7"/>
    </row>
    <row r="749" spans="9:16" x14ac:dyDescent="0.35">
      <c r="I749" s="7"/>
      <c r="P749" s="7"/>
    </row>
    <row r="750" spans="9:16" x14ac:dyDescent="0.35">
      <c r="I750" s="7"/>
      <c r="P750" s="7"/>
    </row>
    <row r="751" spans="9:16" x14ac:dyDescent="0.35">
      <c r="I751" s="7"/>
      <c r="P751" s="7"/>
    </row>
    <row r="752" spans="9:16" x14ac:dyDescent="0.35">
      <c r="I752" s="7"/>
      <c r="P752" s="7"/>
    </row>
    <row r="753" spans="9:16" x14ac:dyDescent="0.35">
      <c r="I753" s="7"/>
      <c r="P753" s="7"/>
    </row>
    <row r="754" spans="9:16" x14ac:dyDescent="0.35">
      <c r="I754" s="7"/>
      <c r="P754" s="7"/>
    </row>
    <row r="755" spans="9:16" x14ac:dyDescent="0.35">
      <c r="I755" s="7"/>
      <c r="P755" s="7"/>
    </row>
    <row r="756" spans="9:16" x14ac:dyDescent="0.35">
      <c r="I756" s="7"/>
      <c r="P756" s="7"/>
    </row>
    <row r="757" spans="9:16" x14ac:dyDescent="0.35">
      <c r="I757" s="7"/>
      <c r="P757" s="7"/>
    </row>
    <row r="758" spans="9:16" x14ac:dyDescent="0.35">
      <c r="I758" s="7"/>
      <c r="P758" s="7"/>
    </row>
    <row r="759" spans="9:16" x14ac:dyDescent="0.35">
      <c r="I759" s="7"/>
      <c r="P759" s="7"/>
    </row>
    <row r="760" spans="9:16" x14ac:dyDescent="0.35">
      <c r="I760" s="7"/>
      <c r="P760" s="7"/>
    </row>
    <row r="761" spans="9:16" x14ac:dyDescent="0.35">
      <c r="I761" s="7"/>
      <c r="P761" s="7"/>
    </row>
    <row r="762" spans="9:16" x14ac:dyDescent="0.35">
      <c r="I762" s="7"/>
      <c r="P762" s="7"/>
    </row>
    <row r="763" spans="9:16" x14ac:dyDescent="0.35">
      <c r="I763" s="7"/>
      <c r="P763" s="7"/>
    </row>
    <row r="764" spans="9:16" x14ac:dyDescent="0.35">
      <c r="I764" s="7"/>
      <c r="P764" s="7"/>
    </row>
    <row r="765" spans="9:16" x14ac:dyDescent="0.35">
      <c r="I765" s="7"/>
      <c r="P765" s="7"/>
    </row>
    <row r="766" spans="9:16" x14ac:dyDescent="0.35">
      <c r="I766" s="7"/>
      <c r="P766" s="7"/>
    </row>
    <row r="767" spans="9:16" x14ac:dyDescent="0.35">
      <c r="I767" s="7"/>
      <c r="P767" s="7"/>
    </row>
    <row r="768" spans="9:16" x14ac:dyDescent="0.35">
      <c r="I768" s="7"/>
      <c r="P768" s="7"/>
    </row>
    <row r="769" spans="9:16" x14ac:dyDescent="0.35">
      <c r="I769" s="7"/>
      <c r="P769" s="7"/>
    </row>
    <row r="770" spans="9:16" x14ac:dyDescent="0.35">
      <c r="I770" s="7"/>
      <c r="P770" s="7"/>
    </row>
    <row r="771" spans="9:16" x14ac:dyDescent="0.35">
      <c r="I771" s="7"/>
      <c r="P771" s="7"/>
    </row>
    <row r="772" spans="9:16" x14ac:dyDescent="0.35">
      <c r="I772" s="7"/>
      <c r="P772" s="7"/>
    </row>
    <row r="773" spans="9:16" x14ac:dyDescent="0.35">
      <c r="I773" s="7"/>
      <c r="P773" s="7"/>
    </row>
    <row r="774" spans="9:16" x14ac:dyDescent="0.35">
      <c r="I774" s="7"/>
      <c r="P774" s="7"/>
    </row>
    <row r="775" spans="9:16" x14ac:dyDescent="0.35">
      <c r="I775" s="7"/>
      <c r="P775" s="7"/>
    </row>
    <row r="776" spans="9:16" x14ac:dyDescent="0.35">
      <c r="I776" s="7"/>
      <c r="P776" s="7"/>
    </row>
    <row r="777" spans="9:16" x14ac:dyDescent="0.35">
      <c r="I777" s="7"/>
      <c r="P777" s="7"/>
    </row>
    <row r="778" spans="9:16" x14ac:dyDescent="0.35">
      <c r="I778" s="7"/>
      <c r="P778" s="7"/>
    </row>
    <row r="779" spans="9:16" x14ac:dyDescent="0.35">
      <c r="I779" s="7"/>
      <c r="P779" s="7"/>
    </row>
    <row r="780" spans="9:16" x14ac:dyDescent="0.35">
      <c r="I780" s="7"/>
      <c r="P780" s="7"/>
    </row>
    <row r="781" spans="9:16" x14ac:dyDescent="0.35">
      <c r="I781" s="7"/>
      <c r="P781" s="7"/>
    </row>
    <row r="782" spans="9:16" x14ac:dyDescent="0.35">
      <c r="I782" s="7"/>
      <c r="P782" s="7"/>
    </row>
    <row r="783" spans="9:16" x14ac:dyDescent="0.35">
      <c r="I783" s="7"/>
      <c r="P783" s="7"/>
    </row>
    <row r="784" spans="9:16" x14ac:dyDescent="0.35">
      <c r="I784" s="7"/>
      <c r="P784" s="7"/>
    </row>
    <row r="785" spans="9:16" x14ac:dyDescent="0.35">
      <c r="I785" s="7"/>
      <c r="P785" s="7"/>
    </row>
    <row r="786" spans="9:16" x14ac:dyDescent="0.35">
      <c r="I786" s="7"/>
      <c r="P786" s="7"/>
    </row>
    <row r="787" spans="9:16" x14ac:dyDescent="0.35">
      <c r="I787" s="7"/>
      <c r="P787" s="7"/>
    </row>
    <row r="788" spans="9:16" x14ac:dyDescent="0.35">
      <c r="I788" s="7"/>
      <c r="P788" s="7"/>
    </row>
    <row r="789" spans="9:16" x14ac:dyDescent="0.35">
      <c r="I789" s="7"/>
      <c r="P789" s="7"/>
    </row>
    <row r="790" spans="9:16" x14ac:dyDescent="0.35">
      <c r="I790" s="7"/>
      <c r="P790" s="7"/>
    </row>
    <row r="791" spans="9:16" x14ac:dyDescent="0.35">
      <c r="I791" s="7"/>
      <c r="P791" s="7"/>
    </row>
    <row r="792" spans="9:16" x14ac:dyDescent="0.35">
      <c r="I792" s="7"/>
      <c r="P792" s="7"/>
    </row>
    <row r="793" spans="9:16" x14ac:dyDescent="0.35">
      <c r="I793" s="7"/>
      <c r="P793" s="7"/>
    </row>
    <row r="794" spans="9:16" x14ac:dyDescent="0.35">
      <c r="I794" s="7"/>
      <c r="P794" s="7"/>
    </row>
    <row r="795" spans="9:16" x14ac:dyDescent="0.35">
      <c r="I795" s="7"/>
      <c r="P795" s="7"/>
    </row>
    <row r="796" spans="9:16" x14ac:dyDescent="0.35">
      <c r="I796" s="7"/>
      <c r="P796" s="7"/>
    </row>
    <row r="797" spans="9:16" x14ac:dyDescent="0.35">
      <c r="I797" s="7"/>
      <c r="P797" s="7"/>
    </row>
    <row r="798" spans="9:16" x14ac:dyDescent="0.35">
      <c r="I798" s="7"/>
      <c r="P798" s="7"/>
    </row>
    <row r="799" spans="9:16" x14ac:dyDescent="0.35">
      <c r="I799" s="7"/>
      <c r="P799" s="7"/>
    </row>
    <row r="800" spans="9:16" x14ac:dyDescent="0.35">
      <c r="I800" s="7"/>
      <c r="P800" s="7"/>
    </row>
    <row r="801" spans="9:16" x14ac:dyDescent="0.35">
      <c r="I801" s="7"/>
      <c r="P801" s="7"/>
    </row>
    <row r="802" spans="9:16" x14ac:dyDescent="0.35">
      <c r="I802" s="7"/>
      <c r="P802" s="7"/>
    </row>
    <row r="803" spans="9:16" x14ac:dyDescent="0.35">
      <c r="I803" s="7"/>
      <c r="P803" s="7"/>
    </row>
    <row r="804" spans="9:16" x14ac:dyDescent="0.35">
      <c r="I804" s="7"/>
      <c r="P804" s="7"/>
    </row>
    <row r="805" spans="9:16" x14ac:dyDescent="0.35">
      <c r="I805" s="7"/>
      <c r="P805" s="7"/>
    </row>
    <row r="806" spans="9:16" x14ac:dyDescent="0.35">
      <c r="I806" s="7"/>
      <c r="P806" s="7"/>
    </row>
    <row r="807" spans="9:16" x14ac:dyDescent="0.35">
      <c r="I807" s="7"/>
      <c r="P807" s="7"/>
    </row>
    <row r="808" spans="9:16" x14ac:dyDescent="0.35">
      <c r="I808" s="7"/>
      <c r="P808" s="7"/>
    </row>
    <row r="809" spans="9:16" x14ac:dyDescent="0.35">
      <c r="I809" s="7"/>
      <c r="P809" s="7"/>
    </row>
    <row r="810" spans="9:16" x14ac:dyDescent="0.35">
      <c r="I810" s="7"/>
      <c r="P810" s="7"/>
    </row>
    <row r="811" spans="9:16" x14ac:dyDescent="0.35">
      <c r="I811" s="7"/>
      <c r="P811" s="7"/>
    </row>
    <row r="812" spans="9:16" x14ac:dyDescent="0.35">
      <c r="I812" s="7"/>
      <c r="P812" s="7"/>
    </row>
    <row r="813" spans="9:16" x14ac:dyDescent="0.35">
      <c r="I813" s="7"/>
      <c r="P813" s="7"/>
    </row>
    <row r="814" spans="9:16" x14ac:dyDescent="0.35">
      <c r="I814" s="7"/>
      <c r="P814" s="7"/>
    </row>
    <row r="815" spans="9:16" x14ac:dyDescent="0.35">
      <c r="I815" s="7"/>
      <c r="P815" s="7"/>
    </row>
    <row r="816" spans="9:16" x14ac:dyDescent="0.35">
      <c r="I816" s="7"/>
      <c r="P816" s="7"/>
    </row>
    <row r="817" spans="9:16" x14ac:dyDescent="0.35">
      <c r="I817" s="7"/>
      <c r="P817" s="7"/>
    </row>
    <row r="818" spans="9:16" x14ac:dyDescent="0.35">
      <c r="I818" s="7"/>
      <c r="P818" s="7"/>
    </row>
    <row r="819" spans="9:16" x14ac:dyDescent="0.35">
      <c r="I819" s="7"/>
      <c r="P819" s="7"/>
    </row>
    <row r="820" spans="9:16" x14ac:dyDescent="0.35">
      <c r="I820" s="7"/>
      <c r="P820" s="7"/>
    </row>
    <row r="821" spans="9:16" x14ac:dyDescent="0.35">
      <c r="I821" s="7"/>
      <c r="P821" s="7"/>
    </row>
    <row r="822" spans="9:16" x14ac:dyDescent="0.35">
      <c r="I822" s="7"/>
      <c r="P822" s="7"/>
    </row>
    <row r="823" spans="9:16" x14ac:dyDescent="0.35">
      <c r="I823" s="7"/>
      <c r="P823" s="7"/>
    </row>
    <row r="824" spans="9:16" x14ac:dyDescent="0.35">
      <c r="I824" s="7"/>
      <c r="P824" s="7"/>
    </row>
    <row r="825" spans="9:16" x14ac:dyDescent="0.35">
      <c r="I825" s="7"/>
      <c r="P825" s="7"/>
    </row>
    <row r="826" spans="9:16" x14ac:dyDescent="0.35">
      <c r="I826" s="7"/>
      <c r="P826" s="7"/>
    </row>
    <row r="827" spans="9:16" x14ac:dyDescent="0.35">
      <c r="I827" s="7"/>
      <c r="P827" s="7"/>
    </row>
    <row r="828" spans="9:16" x14ac:dyDescent="0.35">
      <c r="I828" s="7"/>
      <c r="P828" s="7"/>
    </row>
    <row r="829" spans="9:16" x14ac:dyDescent="0.35">
      <c r="I829" s="7"/>
      <c r="P829" s="7"/>
    </row>
    <row r="830" spans="9:16" x14ac:dyDescent="0.35">
      <c r="I830" s="7"/>
      <c r="P830" s="7"/>
    </row>
    <row r="831" spans="9:16" x14ac:dyDescent="0.35">
      <c r="I831" s="7"/>
      <c r="P831" s="7"/>
    </row>
    <row r="832" spans="9:16" x14ac:dyDescent="0.35">
      <c r="I832" s="7"/>
      <c r="P832" s="7"/>
    </row>
    <row r="833" spans="9:16" x14ac:dyDescent="0.35">
      <c r="I833" s="7"/>
      <c r="P833" s="7"/>
    </row>
    <row r="834" spans="9:16" x14ac:dyDescent="0.35">
      <c r="I834" s="7"/>
      <c r="P834" s="7"/>
    </row>
    <row r="835" spans="9:16" x14ac:dyDescent="0.35">
      <c r="I835" s="7"/>
      <c r="P835" s="7"/>
    </row>
    <row r="836" spans="9:16" x14ac:dyDescent="0.35">
      <c r="I836" s="7"/>
      <c r="P836" s="7"/>
    </row>
    <row r="837" spans="9:16" x14ac:dyDescent="0.35">
      <c r="I837" s="7"/>
      <c r="P837" s="7"/>
    </row>
    <row r="838" spans="9:16" x14ac:dyDescent="0.35">
      <c r="I838" s="7"/>
      <c r="P838" s="7"/>
    </row>
    <row r="839" spans="9:16" x14ac:dyDescent="0.35">
      <c r="I839" s="7"/>
      <c r="P839" s="7"/>
    </row>
    <row r="840" spans="9:16" x14ac:dyDescent="0.35">
      <c r="I840" s="7"/>
      <c r="P840" s="7"/>
    </row>
    <row r="841" spans="9:16" x14ac:dyDescent="0.35">
      <c r="I841" s="7"/>
      <c r="P841" s="7"/>
    </row>
    <row r="842" spans="9:16" x14ac:dyDescent="0.35">
      <c r="I842" s="7"/>
      <c r="P842" s="7"/>
    </row>
    <row r="843" spans="9:16" x14ac:dyDescent="0.35">
      <c r="I843" s="7"/>
      <c r="P843" s="7"/>
    </row>
    <row r="844" spans="9:16" x14ac:dyDescent="0.35">
      <c r="I844" s="7"/>
      <c r="P844" s="7"/>
    </row>
    <row r="845" spans="9:16" x14ac:dyDescent="0.35">
      <c r="I845" s="7"/>
      <c r="P845" s="7"/>
    </row>
    <row r="846" spans="9:16" x14ac:dyDescent="0.35">
      <c r="I846" s="7"/>
      <c r="P846" s="7"/>
    </row>
    <row r="847" spans="9:16" x14ac:dyDescent="0.35">
      <c r="I847" s="7"/>
      <c r="P847" s="7"/>
    </row>
    <row r="848" spans="9:16" x14ac:dyDescent="0.35">
      <c r="I848" s="7"/>
      <c r="P848" s="7"/>
    </row>
    <row r="849" spans="9:16" x14ac:dyDescent="0.35">
      <c r="I849" s="7"/>
      <c r="P849" s="7"/>
    </row>
    <row r="850" spans="9:16" x14ac:dyDescent="0.35">
      <c r="I850" s="7"/>
      <c r="P850" s="7"/>
    </row>
    <row r="851" spans="9:16" x14ac:dyDescent="0.35">
      <c r="I851" s="7"/>
      <c r="P851" s="7"/>
    </row>
    <row r="852" spans="9:16" x14ac:dyDescent="0.35">
      <c r="I852" s="7"/>
      <c r="P852" s="7"/>
    </row>
    <row r="853" spans="9:16" x14ac:dyDescent="0.35">
      <c r="I853" s="7"/>
      <c r="P853" s="7"/>
    </row>
    <row r="854" spans="9:16" x14ac:dyDescent="0.35">
      <c r="I854" s="7"/>
      <c r="P854" s="7"/>
    </row>
    <row r="855" spans="9:16" x14ac:dyDescent="0.35">
      <c r="I855" s="7"/>
      <c r="P855" s="7"/>
    </row>
    <row r="856" spans="9:16" x14ac:dyDescent="0.35">
      <c r="I856" s="7"/>
      <c r="P856" s="7"/>
    </row>
    <row r="857" spans="9:16" x14ac:dyDescent="0.35">
      <c r="I857" s="7"/>
      <c r="P857" s="7"/>
    </row>
    <row r="858" spans="9:16" x14ac:dyDescent="0.35">
      <c r="I858" s="7"/>
      <c r="P858" s="7"/>
    </row>
    <row r="859" spans="9:16" x14ac:dyDescent="0.35">
      <c r="I859" s="7"/>
      <c r="P859" s="7"/>
    </row>
    <row r="860" spans="9:16" x14ac:dyDescent="0.35">
      <c r="I860" s="7"/>
      <c r="P860" s="7"/>
    </row>
    <row r="861" spans="9:16" x14ac:dyDescent="0.35">
      <c r="I861" s="7"/>
      <c r="P861" s="7"/>
    </row>
    <row r="862" spans="9:16" x14ac:dyDescent="0.35">
      <c r="I862" s="7"/>
      <c r="P862" s="7"/>
    </row>
    <row r="863" spans="9:16" x14ac:dyDescent="0.35">
      <c r="I863" s="7"/>
      <c r="P863" s="7"/>
    </row>
    <row r="864" spans="9:16" x14ac:dyDescent="0.35">
      <c r="I864" s="7"/>
      <c r="P864" s="7"/>
    </row>
    <row r="865" spans="9:16" x14ac:dyDescent="0.35">
      <c r="I865" s="7"/>
      <c r="P865" s="7"/>
    </row>
    <row r="866" spans="9:16" x14ac:dyDescent="0.35">
      <c r="I866" s="7"/>
      <c r="P866" s="7"/>
    </row>
    <row r="867" spans="9:16" x14ac:dyDescent="0.35">
      <c r="I867" s="7"/>
      <c r="P867" s="7"/>
    </row>
    <row r="868" spans="9:16" x14ac:dyDescent="0.35">
      <c r="I868" s="7"/>
      <c r="P868" s="7"/>
    </row>
    <row r="869" spans="9:16" x14ac:dyDescent="0.35">
      <c r="I869" s="7"/>
      <c r="P869" s="7"/>
    </row>
    <row r="870" spans="9:16" x14ac:dyDescent="0.35">
      <c r="I870" s="7"/>
      <c r="P870" s="7"/>
    </row>
    <row r="871" spans="9:16" x14ac:dyDescent="0.35">
      <c r="I871" s="7"/>
      <c r="P871" s="7"/>
    </row>
    <row r="872" spans="9:16" x14ac:dyDescent="0.35">
      <c r="I872" s="7"/>
      <c r="P872" s="7"/>
    </row>
    <row r="873" spans="9:16" x14ac:dyDescent="0.35">
      <c r="I873" s="7"/>
      <c r="P873" s="7"/>
    </row>
    <row r="874" spans="9:16" x14ac:dyDescent="0.35">
      <c r="I874" s="7"/>
      <c r="P874" s="7"/>
    </row>
    <row r="875" spans="9:16" x14ac:dyDescent="0.35">
      <c r="I875" s="7"/>
      <c r="P875" s="7"/>
    </row>
    <row r="876" spans="9:16" x14ac:dyDescent="0.35">
      <c r="I876" s="7"/>
      <c r="P876" s="7"/>
    </row>
    <row r="877" spans="9:16" x14ac:dyDescent="0.35">
      <c r="I877" s="7"/>
      <c r="P877" s="7"/>
    </row>
    <row r="878" spans="9:16" x14ac:dyDescent="0.35">
      <c r="I878" s="7"/>
      <c r="P878" s="7"/>
    </row>
    <row r="879" spans="9:16" x14ac:dyDescent="0.35">
      <c r="I879" s="7"/>
      <c r="P879" s="7"/>
    </row>
    <row r="880" spans="9:16" x14ac:dyDescent="0.35">
      <c r="I880" s="7"/>
      <c r="P880" s="7"/>
    </row>
    <row r="881" spans="9:16" x14ac:dyDescent="0.35">
      <c r="I881" s="7"/>
      <c r="P881" s="7"/>
    </row>
    <row r="882" spans="9:16" x14ac:dyDescent="0.35">
      <c r="I882" s="7"/>
      <c r="P882" s="7"/>
    </row>
    <row r="883" spans="9:16" x14ac:dyDescent="0.35">
      <c r="I883" s="7"/>
      <c r="P883" s="7"/>
    </row>
    <row r="884" spans="9:16" x14ac:dyDescent="0.35">
      <c r="I884" s="7"/>
      <c r="P884" s="7"/>
    </row>
    <row r="885" spans="9:16" x14ac:dyDescent="0.35">
      <c r="I885" s="7"/>
      <c r="P885" s="7"/>
    </row>
    <row r="886" spans="9:16" x14ac:dyDescent="0.35">
      <c r="I886" s="7"/>
      <c r="P886" s="7"/>
    </row>
    <row r="887" spans="9:16" x14ac:dyDescent="0.35">
      <c r="I887" s="7"/>
      <c r="P887" s="7"/>
    </row>
    <row r="888" spans="9:16" x14ac:dyDescent="0.35">
      <c r="I888" s="7"/>
      <c r="P888" s="7"/>
    </row>
    <row r="889" spans="9:16" x14ac:dyDescent="0.35">
      <c r="I889" s="7"/>
      <c r="P889" s="7"/>
    </row>
    <row r="890" spans="9:16" x14ac:dyDescent="0.35">
      <c r="I890" s="7"/>
      <c r="P890" s="7"/>
    </row>
    <row r="891" spans="9:16" x14ac:dyDescent="0.35">
      <c r="I891" s="7"/>
      <c r="P891" s="7"/>
    </row>
    <row r="892" spans="9:16" x14ac:dyDescent="0.35">
      <c r="I892" s="7"/>
      <c r="P892" s="7"/>
    </row>
    <row r="893" spans="9:16" x14ac:dyDescent="0.35">
      <c r="I893" s="7"/>
      <c r="P893" s="7"/>
    </row>
    <row r="894" spans="9:16" x14ac:dyDescent="0.35">
      <c r="I894" s="7"/>
      <c r="P894" s="7"/>
    </row>
    <row r="895" spans="9:16" x14ac:dyDescent="0.35">
      <c r="I895" s="7"/>
      <c r="P895" s="7"/>
    </row>
    <row r="896" spans="9:16" x14ac:dyDescent="0.35">
      <c r="I896" s="7"/>
      <c r="P896" s="7"/>
    </row>
    <row r="897" spans="9:16" x14ac:dyDescent="0.35">
      <c r="I897" s="7"/>
      <c r="P897" s="7"/>
    </row>
    <row r="898" spans="9:16" x14ac:dyDescent="0.35">
      <c r="I898" s="7"/>
      <c r="P898" s="7"/>
    </row>
    <row r="899" spans="9:16" x14ac:dyDescent="0.35">
      <c r="I899" s="7"/>
      <c r="P899" s="7"/>
    </row>
    <row r="900" spans="9:16" x14ac:dyDescent="0.35">
      <c r="I900" s="7"/>
      <c r="P900" s="7"/>
    </row>
    <row r="901" spans="9:16" x14ac:dyDescent="0.35">
      <c r="I901" s="7"/>
      <c r="P901" s="7"/>
    </row>
    <row r="902" spans="9:16" x14ac:dyDescent="0.35">
      <c r="I902" s="7"/>
      <c r="P902" s="7"/>
    </row>
    <row r="903" spans="9:16" x14ac:dyDescent="0.35">
      <c r="I903" s="7"/>
      <c r="P903" s="7"/>
    </row>
    <row r="904" spans="9:16" x14ac:dyDescent="0.35">
      <c r="I904" s="7"/>
      <c r="P904" s="7"/>
    </row>
    <row r="905" spans="9:16" x14ac:dyDescent="0.35">
      <c r="I905" s="7"/>
      <c r="P905" s="7"/>
    </row>
    <row r="906" spans="9:16" x14ac:dyDescent="0.35">
      <c r="I906" s="7"/>
      <c r="P906" s="7"/>
    </row>
    <row r="907" spans="9:16" x14ac:dyDescent="0.35">
      <c r="I907" s="7"/>
      <c r="P907" s="7"/>
    </row>
    <row r="908" spans="9:16" x14ac:dyDescent="0.35">
      <c r="I908" s="7"/>
      <c r="P908" s="7"/>
    </row>
    <row r="909" spans="9:16" x14ac:dyDescent="0.35">
      <c r="I909" s="7"/>
      <c r="P909" s="7"/>
    </row>
    <row r="910" spans="9:16" x14ac:dyDescent="0.35">
      <c r="I910" s="7"/>
      <c r="P910" s="7"/>
    </row>
    <row r="911" spans="9:16" x14ac:dyDescent="0.35">
      <c r="I911" s="7"/>
      <c r="P911" s="7"/>
    </row>
    <row r="912" spans="9:16" x14ac:dyDescent="0.35">
      <c r="I912" s="7"/>
      <c r="P912" s="7"/>
    </row>
    <row r="913" spans="9:16" x14ac:dyDescent="0.35">
      <c r="I913" s="7"/>
      <c r="P913" s="7"/>
    </row>
    <row r="914" spans="9:16" x14ac:dyDescent="0.35">
      <c r="I914" s="7"/>
      <c r="P914" s="7"/>
    </row>
    <row r="915" spans="9:16" x14ac:dyDescent="0.35">
      <c r="I915" s="7"/>
      <c r="P915" s="7"/>
    </row>
    <row r="916" spans="9:16" x14ac:dyDescent="0.35">
      <c r="I916" s="7"/>
      <c r="P916" s="7"/>
    </row>
    <row r="917" spans="9:16" x14ac:dyDescent="0.35">
      <c r="I917" s="7"/>
      <c r="P917" s="7"/>
    </row>
    <row r="918" spans="9:16" x14ac:dyDescent="0.35">
      <c r="I918" s="7"/>
      <c r="P918" s="7"/>
    </row>
    <row r="919" spans="9:16" x14ac:dyDescent="0.35">
      <c r="I919" s="7"/>
      <c r="P919" s="7"/>
    </row>
    <row r="920" spans="9:16" x14ac:dyDescent="0.35">
      <c r="I920" s="7"/>
      <c r="P920" s="7"/>
    </row>
    <row r="921" spans="9:16" x14ac:dyDescent="0.35">
      <c r="I921" s="7"/>
      <c r="P921" s="7"/>
    </row>
    <row r="922" spans="9:16" x14ac:dyDescent="0.35">
      <c r="I922" s="7"/>
      <c r="P922" s="7"/>
    </row>
    <row r="923" spans="9:16" x14ac:dyDescent="0.35">
      <c r="I923" s="7"/>
      <c r="P923" s="7"/>
    </row>
    <row r="924" spans="9:16" x14ac:dyDescent="0.35">
      <c r="I924" s="7"/>
      <c r="P924" s="7"/>
    </row>
    <row r="925" spans="9:16" x14ac:dyDescent="0.35">
      <c r="I925" s="7"/>
      <c r="P925" s="7"/>
    </row>
    <row r="926" spans="9:16" x14ac:dyDescent="0.35">
      <c r="I926" s="7"/>
      <c r="P926" s="7"/>
    </row>
    <row r="927" spans="9:16" x14ac:dyDescent="0.35">
      <c r="I927" s="7"/>
      <c r="P927" s="7"/>
    </row>
    <row r="928" spans="9:16" x14ac:dyDescent="0.35">
      <c r="I928" s="7"/>
      <c r="P928" s="7"/>
    </row>
    <row r="929" spans="9:16" x14ac:dyDescent="0.35">
      <c r="I929" s="7"/>
      <c r="P929" s="7"/>
    </row>
    <row r="930" spans="9:16" x14ac:dyDescent="0.35">
      <c r="I930" s="7"/>
      <c r="P930" s="7"/>
    </row>
    <row r="931" spans="9:16" x14ac:dyDescent="0.35">
      <c r="I931" s="7"/>
      <c r="P931" s="7"/>
    </row>
    <row r="932" spans="9:16" x14ac:dyDescent="0.35">
      <c r="I932" s="7"/>
      <c r="P932" s="7"/>
    </row>
    <row r="933" spans="9:16" x14ac:dyDescent="0.35">
      <c r="I933" s="7"/>
      <c r="P933" s="7"/>
    </row>
    <row r="934" spans="9:16" x14ac:dyDescent="0.35">
      <c r="I934" s="7"/>
      <c r="P934" s="7"/>
    </row>
    <row r="935" spans="9:16" x14ac:dyDescent="0.35">
      <c r="I935" s="7"/>
      <c r="P935" s="7"/>
    </row>
    <row r="936" spans="9:16" x14ac:dyDescent="0.35">
      <c r="I936" s="7"/>
      <c r="P936" s="7"/>
    </row>
    <row r="937" spans="9:16" x14ac:dyDescent="0.35">
      <c r="I937" s="7"/>
      <c r="P937" s="7"/>
    </row>
    <row r="938" spans="9:16" x14ac:dyDescent="0.35">
      <c r="I938" s="7"/>
      <c r="P938" s="7"/>
    </row>
    <row r="939" spans="9:16" x14ac:dyDescent="0.35">
      <c r="I939" s="7"/>
      <c r="P939" s="7"/>
    </row>
    <row r="940" spans="9:16" x14ac:dyDescent="0.35">
      <c r="I940" s="7"/>
      <c r="P940" s="7"/>
    </row>
    <row r="941" spans="9:16" x14ac:dyDescent="0.35">
      <c r="I941" s="7"/>
      <c r="P941" s="7"/>
    </row>
    <row r="942" spans="9:16" x14ac:dyDescent="0.35">
      <c r="I942" s="7"/>
      <c r="P942" s="7"/>
    </row>
    <row r="943" spans="9:16" x14ac:dyDescent="0.35">
      <c r="I943" s="7"/>
      <c r="P943" s="7"/>
    </row>
    <row r="944" spans="9:16" x14ac:dyDescent="0.35">
      <c r="I944" s="7"/>
      <c r="P944" s="7"/>
    </row>
    <row r="945" spans="9:16" x14ac:dyDescent="0.35">
      <c r="I945" s="7"/>
      <c r="P945" s="7"/>
    </row>
    <row r="946" spans="9:16" x14ac:dyDescent="0.35">
      <c r="I946" s="7"/>
      <c r="P946" s="7"/>
    </row>
    <row r="947" spans="9:16" x14ac:dyDescent="0.35">
      <c r="I947" s="7"/>
      <c r="P947" s="7"/>
    </row>
    <row r="948" spans="9:16" x14ac:dyDescent="0.35">
      <c r="I948" s="7"/>
      <c r="P948" s="7"/>
    </row>
    <row r="949" spans="9:16" x14ac:dyDescent="0.35">
      <c r="I949" s="7"/>
      <c r="P949" s="7"/>
    </row>
    <row r="950" spans="9:16" x14ac:dyDescent="0.35">
      <c r="I950" s="7"/>
      <c r="P950" s="7"/>
    </row>
    <row r="951" spans="9:16" x14ac:dyDescent="0.35">
      <c r="I951" s="7"/>
      <c r="P951" s="7"/>
    </row>
    <row r="952" spans="9:16" x14ac:dyDescent="0.35">
      <c r="I952" s="7"/>
      <c r="P952" s="7"/>
    </row>
    <row r="953" spans="9:16" x14ac:dyDescent="0.35">
      <c r="I953" s="7"/>
      <c r="P953" s="7"/>
    </row>
    <row r="954" spans="9:16" x14ac:dyDescent="0.35">
      <c r="I954" s="7"/>
      <c r="P954" s="7"/>
    </row>
    <row r="955" spans="9:16" x14ac:dyDescent="0.35">
      <c r="I955" s="7"/>
      <c r="P955" s="7"/>
    </row>
    <row r="956" spans="9:16" x14ac:dyDescent="0.35">
      <c r="I956" s="7"/>
      <c r="P956" s="7"/>
    </row>
    <row r="957" spans="9:16" x14ac:dyDescent="0.35">
      <c r="I957" s="7"/>
      <c r="P957" s="7"/>
    </row>
    <row r="958" spans="9:16" x14ac:dyDescent="0.35">
      <c r="I958" s="7"/>
      <c r="P958" s="7"/>
    </row>
    <row r="959" spans="9:16" x14ac:dyDescent="0.35">
      <c r="I959" s="7"/>
      <c r="P959" s="7"/>
    </row>
    <row r="960" spans="9:16" x14ac:dyDescent="0.35">
      <c r="I960" s="7"/>
      <c r="P960" s="7"/>
    </row>
    <row r="961" spans="9:16" x14ac:dyDescent="0.35">
      <c r="I961" s="7"/>
      <c r="P961" s="7"/>
    </row>
    <row r="962" spans="9:16" x14ac:dyDescent="0.35">
      <c r="I962" s="7"/>
      <c r="P962" s="7"/>
    </row>
    <row r="963" spans="9:16" x14ac:dyDescent="0.35">
      <c r="I963" s="7"/>
      <c r="P963" s="7"/>
    </row>
    <row r="964" spans="9:16" x14ac:dyDescent="0.35">
      <c r="I964" s="7"/>
      <c r="P964" s="7"/>
    </row>
    <row r="965" spans="9:16" x14ac:dyDescent="0.35">
      <c r="I965" s="7"/>
      <c r="P965" s="7"/>
    </row>
    <row r="966" spans="9:16" x14ac:dyDescent="0.35">
      <c r="I966" s="7"/>
      <c r="P966" s="7"/>
    </row>
    <row r="967" spans="9:16" x14ac:dyDescent="0.35">
      <c r="I967" s="7"/>
      <c r="P967" s="7"/>
    </row>
    <row r="968" spans="9:16" x14ac:dyDescent="0.35">
      <c r="I968" s="7"/>
      <c r="P968" s="7"/>
    </row>
    <row r="969" spans="9:16" x14ac:dyDescent="0.35">
      <c r="I969" s="7"/>
      <c r="P969" s="7"/>
    </row>
    <row r="970" spans="9:16" x14ac:dyDescent="0.35">
      <c r="I970" s="7"/>
      <c r="P970" s="7"/>
    </row>
    <row r="971" spans="9:16" x14ac:dyDescent="0.35">
      <c r="I971" s="7"/>
      <c r="P971" s="7"/>
    </row>
    <row r="972" spans="9:16" x14ac:dyDescent="0.35">
      <c r="I972" s="7"/>
      <c r="P972" s="7"/>
    </row>
    <row r="973" spans="9:16" x14ac:dyDescent="0.35">
      <c r="I973" s="7"/>
      <c r="P973" s="7"/>
    </row>
    <row r="974" spans="9:16" x14ac:dyDescent="0.35">
      <c r="I974" s="7"/>
      <c r="P974" s="7"/>
    </row>
    <row r="975" spans="9:16" x14ac:dyDescent="0.35">
      <c r="I975" s="7"/>
      <c r="P975" s="7"/>
    </row>
    <row r="976" spans="9:16" x14ac:dyDescent="0.35">
      <c r="I976" s="7"/>
      <c r="P976" s="7"/>
    </row>
    <row r="977" spans="9:16" x14ac:dyDescent="0.35">
      <c r="I977" s="7"/>
      <c r="P977" s="7"/>
    </row>
    <row r="978" spans="9:16" x14ac:dyDescent="0.35">
      <c r="I978" s="7"/>
      <c r="P978" s="7"/>
    </row>
    <row r="979" spans="9:16" x14ac:dyDescent="0.35">
      <c r="I979" s="7"/>
      <c r="P979" s="7"/>
    </row>
    <row r="980" spans="9:16" x14ac:dyDescent="0.35">
      <c r="I980" s="7"/>
      <c r="P980" s="7"/>
    </row>
    <row r="981" spans="9:16" x14ac:dyDescent="0.35">
      <c r="I981" s="7"/>
      <c r="P981" s="7"/>
    </row>
    <row r="982" spans="9:16" x14ac:dyDescent="0.35">
      <c r="I982" s="7"/>
      <c r="P982" s="7"/>
    </row>
    <row r="983" spans="9:16" x14ac:dyDescent="0.35">
      <c r="I983" s="7"/>
      <c r="P983" s="7"/>
    </row>
    <row r="984" spans="9:16" x14ac:dyDescent="0.35">
      <c r="I984" s="7"/>
      <c r="P984" s="7"/>
    </row>
    <row r="985" spans="9:16" x14ac:dyDescent="0.35">
      <c r="I985" s="7"/>
      <c r="P985" s="7"/>
    </row>
    <row r="986" spans="9:16" x14ac:dyDescent="0.35">
      <c r="I986" s="7"/>
      <c r="P986" s="7"/>
    </row>
    <row r="987" spans="9:16" x14ac:dyDescent="0.35">
      <c r="I987" s="7"/>
      <c r="P987" s="7"/>
    </row>
    <row r="988" spans="9:16" x14ac:dyDescent="0.35">
      <c r="I988" s="7"/>
      <c r="P988" s="7"/>
    </row>
    <row r="989" spans="9:16" x14ac:dyDescent="0.35">
      <c r="I989" s="7"/>
      <c r="P989" s="7"/>
    </row>
    <row r="990" spans="9:16" x14ac:dyDescent="0.35">
      <c r="I990" s="7"/>
      <c r="P990" s="7"/>
    </row>
    <row r="991" spans="9:16" x14ac:dyDescent="0.35">
      <c r="I991" s="7"/>
      <c r="P991" s="7"/>
    </row>
    <row r="992" spans="9:16" x14ac:dyDescent="0.35">
      <c r="I992" s="7"/>
      <c r="P992" s="7"/>
    </row>
    <row r="993" spans="9:16" x14ac:dyDescent="0.35">
      <c r="I993" s="7"/>
      <c r="P993" s="7"/>
    </row>
    <row r="994" spans="9:16" x14ac:dyDescent="0.35">
      <c r="I994" s="7"/>
      <c r="P994" s="7"/>
    </row>
    <row r="995" spans="9:16" x14ac:dyDescent="0.35">
      <c r="I995" s="7"/>
      <c r="P995" s="7"/>
    </row>
    <row r="996" spans="9:16" x14ac:dyDescent="0.35">
      <c r="I996" s="7"/>
      <c r="P996" s="7"/>
    </row>
    <row r="997" spans="9:16" x14ac:dyDescent="0.35">
      <c r="I997" s="7"/>
      <c r="P997" s="7"/>
    </row>
    <row r="998" spans="9:16" x14ac:dyDescent="0.35">
      <c r="I998" s="7"/>
      <c r="P998" s="7"/>
    </row>
    <row r="999" spans="9:16" x14ac:dyDescent="0.35">
      <c r="I999" s="7"/>
      <c r="P999" s="7"/>
    </row>
    <row r="1000" spans="9:16" x14ac:dyDescent="0.35">
      <c r="I1000" s="7"/>
      <c r="P1000" s="7"/>
    </row>
    <row r="1001" spans="9:16" x14ac:dyDescent="0.35">
      <c r="I1001" s="7"/>
      <c r="P1001" s="7"/>
    </row>
    <row r="1002" spans="9:16" x14ac:dyDescent="0.35">
      <c r="I1002" s="7"/>
      <c r="P1002" s="7"/>
    </row>
    <row r="1003" spans="9:16" x14ac:dyDescent="0.35">
      <c r="I1003" s="7"/>
      <c r="P1003" s="7"/>
    </row>
    <row r="1004" spans="9:16" x14ac:dyDescent="0.35">
      <c r="I1004" s="7"/>
      <c r="P1004" s="7"/>
    </row>
    <row r="1005" spans="9:16" x14ac:dyDescent="0.35">
      <c r="I1005" s="7"/>
      <c r="P1005" s="7"/>
    </row>
    <row r="1006" spans="9:16" x14ac:dyDescent="0.35">
      <c r="I1006" s="7"/>
      <c r="P1006" s="7"/>
    </row>
    <row r="1007" spans="9:16" x14ac:dyDescent="0.35">
      <c r="I1007" s="7"/>
      <c r="P1007" s="7"/>
    </row>
    <row r="1008" spans="9:16" x14ac:dyDescent="0.35">
      <c r="I1008" s="7"/>
      <c r="P1008" s="7"/>
    </row>
    <row r="1009" spans="9:16" x14ac:dyDescent="0.35">
      <c r="I1009" s="7"/>
      <c r="P1009" s="7"/>
    </row>
    <row r="1010" spans="9:16" x14ac:dyDescent="0.35">
      <c r="I1010" s="7"/>
      <c r="P1010" s="7"/>
    </row>
    <row r="1011" spans="9:16" x14ac:dyDescent="0.35">
      <c r="I1011" s="7"/>
      <c r="P1011" s="7"/>
    </row>
    <row r="1012" spans="9:16" x14ac:dyDescent="0.35">
      <c r="I1012" s="7"/>
      <c r="P1012" s="7"/>
    </row>
    <row r="1013" spans="9:16" x14ac:dyDescent="0.35">
      <c r="I1013" s="7"/>
      <c r="P1013" s="7"/>
    </row>
    <row r="1014" spans="9:16" x14ac:dyDescent="0.35">
      <c r="I1014" s="7"/>
      <c r="P1014" s="7"/>
    </row>
    <row r="1015" spans="9:16" x14ac:dyDescent="0.35">
      <c r="I1015" s="7"/>
      <c r="P1015" s="7"/>
    </row>
    <row r="1016" spans="9:16" x14ac:dyDescent="0.35">
      <c r="I1016" s="7"/>
      <c r="P1016" s="7"/>
    </row>
    <row r="1017" spans="9:16" x14ac:dyDescent="0.35">
      <c r="I1017" s="7"/>
      <c r="P1017" s="7"/>
    </row>
    <row r="1018" spans="9:16" x14ac:dyDescent="0.35">
      <c r="I1018" s="7"/>
      <c r="P1018" s="7"/>
    </row>
    <row r="1019" spans="9:16" x14ac:dyDescent="0.35">
      <c r="I1019" s="7"/>
      <c r="P1019" s="7"/>
    </row>
    <row r="1020" spans="9:16" x14ac:dyDescent="0.35">
      <c r="I1020" s="7"/>
      <c r="P1020" s="7"/>
    </row>
    <row r="1021" spans="9:16" x14ac:dyDescent="0.35">
      <c r="I1021" s="7"/>
      <c r="P1021" s="7"/>
    </row>
    <row r="1022" spans="9:16" x14ac:dyDescent="0.35">
      <c r="I1022" s="7"/>
      <c r="P1022" s="7"/>
    </row>
    <row r="1023" spans="9:16" x14ac:dyDescent="0.35">
      <c r="I1023" s="7"/>
      <c r="P1023" s="7"/>
    </row>
    <row r="1024" spans="9:16" x14ac:dyDescent="0.35">
      <c r="I1024" s="7"/>
      <c r="P1024" s="7"/>
    </row>
    <row r="1025" spans="9:16" x14ac:dyDescent="0.35">
      <c r="I1025" s="7"/>
      <c r="P1025" s="7"/>
    </row>
    <row r="1026" spans="9:16" x14ac:dyDescent="0.35">
      <c r="I1026" s="7"/>
      <c r="P1026" s="7"/>
    </row>
    <row r="1027" spans="9:16" x14ac:dyDescent="0.35">
      <c r="I1027" s="7"/>
      <c r="P1027" s="7"/>
    </row>
    <row r="1028" spans="9:16" x14ac:dyDescent="0.35">
      <c r="I1028" s="7"/>
      <c r="P1028" s="7"/>
    </row>
    <row r="1029" spans="9:16" x14ac:dyDescent="0.35">
      <c r="I1029" s="7"/>
      <c r="P1029" s="7"/>
    </row>
    <row r="1030" spans="9:16" x14ac:dyDescent="0.35">
      <c r="I1030" s="7"/>
      <c r="P1030" s="7"/>
    </row>
    <row r="1031" spans="9:16" x14ac:dyDescent="0.35">
      <c r="I1031" s="7"/>
      <c r="P1031" s="7"/>
    </row>
  </sheetData>
  <sheetProtection algorithmName="SHA-512" hashValue="QMJsfTOfSuu/xMkwM2UhGMDAmQCjhQPQgZDMYxmKdzNTXqLcwyevUlaYk2k/Ze5wSgNQBUUBzaH7quloQvbj9Q==" saltValue="vn3CeQyf4/iILc7ezbFF2g==" spinCount="100000" sheet="1" objects="1" scenarios="1"/>
  <mergeCells count="7">
    <mergeCell ref="AF3:AF31"/>
    <mergeCell ref="AM3:AM31"/>
    <mergeCell ref="B2:Z2"/>
    <mergeCell ref="A3:A31"/>
    <mergeCell ref="H3:H31"/>
    <mergeCell ref="O3:O31"/>
    <mergeCell ref="V3:V31"/>
  </mergeCells>
  <pageMargins left="0.7" right="0.7" top="0.75" bottom="0.75" header="0.511811023622047" footer="0.511811023622047"/>
  <pageSetup orientation="portrait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1F6E4C"/>
  </sheetPr>
  <dimension ref="A2:AU1031"/>
  <sheetViews>
    <sheetView showGridLines="0" topLeftCell="H1" zoomScale="90" zoomScaleNormal="90" workbookViewId="0">
      <selection activeCell="I22" sqref="A22:XFD31"/>
    </sheetView>
  </sheetViews>
  <sheetFormatPr defaultColWidth="8.54296875" defaultRowHeight="14.5" x14ac:dyDescent="0.35"/>
  <cols>
    <col min="1" max="1" width="0" hidden="1" customWidth="1"/>
    <col min="2" max="2" width="9.1796875" style="7" hidden="1" customWidth="1"/>
    <col min="3" max="3" width="0" hidden="1" customWidth="1"/>
    <col min="4" max="4" width="9.54296875" hidden="1" customWidth="1"/>
    <col min="5" max="7" width="0" hidden="1" customWidth="1"/>
    <col min="30" max="36" width="0" hidden="1" customWidth="1"/>
    <col min="40" max="43" width="0" hidden="1" customWidth="1"/>
    <col min="45" max="45" width="9.7265625" customWidth="1"/>
    <col min="47" max="47" width="9.7265625" customWidth="1"/>
  </cols>
  <sheetData>
    <row r="2" spans="1:47" ht="45" customHeight="1" x14ac:dyDescent="0.35">
      <c r="B2" s="81" t="s">
        <v>194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D2" s="11"/>
      <c r="AE2" s="11" t="s">
        <v>195</v>
      </c>
      <c r="AF2" s="7"/>
      <c r="AG2" s="7"/>
      <c r="AH2" s="7"/>
      <c r="AI2" s="7"/>
      <c r="AJ2" s="7"/>
      <c r="AM2" s="81" t="s">
        <v>679</v>
      </c>
      <c r="AN2" s="81"/>
      <c r="AO2" s="81"/>
      <c r="AP2" s="81"/>
      <c r="AQ2" s="81"/>
      <c r="AR2" s="81"/>
      <c r="AS2" s="81"/>
      <c r="AT2" s="81"/>
      <c r="AU2" s="81"/>
    </row>
    <row r="3" spans="1:47" ht="19" customHeight="1" x14ac:dyDescent="0.35">
      <c r="A3" s="80" t="s">
        <v>189</v>
      </c>
      <c r="B3" s="11"/>
      <c r="C3" s="11" t="s">
        <v>190</v>
      </c>
      <c r="D3" s="11" t="s">
        <v>126</v>
      </c>
      <c r="E3" s="11" t="s">
        <v>128</v>
      </c>
      <c r="F3" s="11"/>
      <c r="G3" s="11"/>
      <c r="H3" s="80" t="s">
        <v>191</v>
      </c>
      <c r="I3" s="11"/>
      <c r="J3" s="11" t="s">
        <v>190</v>
      </c>
      <c r="K3" s="11" t="s">
        <v>126</v>
      </c>
      <c r="L3" s="11" t="s">
        <v>128</v>
      </c>
      <c r="M3" s="11"/>
      <c r="N3" s="11"/>
      <c r="O3" s="80" t="s">
        <v>192</v>
      </c>
      <c r="P3" s="11"/>
      <c r="Q3" s="11" t="s">
        <v>190</v>
      </c>
      <c r="R3" s="11" t="s">
        <v>126</v>
      </c>
      <c r="S3" s="11" t="s">
        <v>128</v>
      </c>
      <c r="T3" s="11"/>
      <c r="U3" s="11"/>
      <c r="V3" s="80" t="s">
        <v>193</v>
      </c>
      <c r="W3" s="11"/>
      <c r="X3" s="11" t="s">
        <v>190</v>
      </c>
      <c r="Y3" s="11" t="s">
        <v>126</v>
      </c>
      <c r="Z3" s="11" t="s">
        <v>128</v>
      </c>
      <c r="AD3" s="80" t="s">
        <v>189</v>
      </c>
      <c r="AE3" s="38"/>
      <c r="AF3" s="23" t="s">
        <v>190</v>
      </c>
      <c r="AG3" s="23" t="s">
        <v>126</v>
      </c>
      <c r="AH3" s="23" t="s">
        <v>128</v>
      </c>
      <c r="AI3" s="7"/>
      <c r="AJ3" s="7"/>
      <c r="AK3" s="7"/>
      <c r="AM3" s="80" t="s">
        <v>193</v>
      </c>
      <c r="AN3" s="11"/>
      <c r="AO3" s="11" t="s">
        <v>190</v>
      </c>
      <c r="AP3" s="11" t="s">
        <v>126</v>
      </c>
      <c r="AQ3" s="11" t="s">
        <v>128</v>
      </c>
      <c r="AR3" s="11"/>
      <c r="AS3" s="11" t="s">
        <v>190</v>
      </c>
      <c r="AT3" s="11" t="s">
        <v>126</v>
      </c>
      <c r="AU3" s="11" t="s">
        <v>128</v>
      </c>
    </row>
    <row r="4" spans="1:47" ht="15" customHeight="1" x14ac:dyDescent="0.35">
      <c r="A4" s="80"/>
      <c r="B4" s="17">
        <v>2023</v>
      </c>
      <c r="C4" s="44">
        <v>0.23</v>
      </c>
      <c r="D4" s="44">
        <v>0.15</v>
      </c>
      <c r="E4" s="44">
        <v>8.9999999999999993E-3</v>
      </c>
      <c r="F4" s="38"/>
      <c r="G4" s="38"/>
      <c r="H4" s="80"/>
      <c r="I4" s="17">
        <v>2023</v>
      </c>
      <c r="J4" s="44">
        <v>0.23</v>
      </c>
      <c r="K4" s="44">
        <v>0.16300000000000001</v>
      </c>
      <c r="L4" s="44">
        <v>8.9999999999999993E-3</v>
      </c>
      <c r="M4" s="38"/>
      <c r="N4" s="38"/>
      <c r="O4" s="80"/>
      <c r="P4" s="17">
        <v>2023</v>
      </c>
      <c r="Q4" s="44">
        <v>0.23</v>
      </c>
      <c r="R4" s="44">
        <v>0.16300000000000001</v>
      </c>
      <c r="S4" s="44">
        <v>8.9999999999999993E-3</v>
      </c>
      <c r="T4" s="38"/>
      <c r="U4" s="38"/>
      <c r="V4" s="80"/>
      <c r="W4" s="17">
        <v>2024</v>
      </c>
      <c r="X4" s="21">
        <f>'SEI Scenario LAT'!BK7</f>
        <v>0.2466855983256683</v>
      </c>
      <c r="Y4" s="21">
        <f>'SEI Scenario LAT'!EB7</f>
        <v>0.16186136825192188</v>
      </c>
      <c r="Z4" s="21">
        <f>'SEI Scenario LAT'!AH7</f>
        <v>1.2176487726237395E-2</v>
      </c>
      <c r="AD4" s="80"/>
      <c r="AE4" s="17">
        <v>2023</v>
      </c>
      <c r="AF4" s="7"/>
      <c r="AG4" s="7"/>
      <c r="AH4" s="7"/>
      <c r="AM4" s="80"/>
      <c r="AN4" s="17">
        <v>2024</v>
      </c>
      <c r="AO4" s="21">
        <f>(1-'SEI Scenario LAT'!BM7)</f>
        <v>0.99825063832544447</v>
      </c>
      <c r="AP4" s="21">
        <f>(1-'SEI Scenario LAT'!ED7)</f>
        <v>1</v>
      </c>
      <c r="AQ4" s="21">
        <f>(1-'SEI Scenario LAT'!AJ7)</f>
        <v>1.0013946871461628</v>
      </c>
      <c r="AR4" s="17">
        <v>2024</v>
      </c>
      <c r="AS4" s="21">
        <f>('SEI Scenario LAT'!BM7)</f>
        <v>1.7493616745554996E-3</v>
      </c>
      <c r="AT4" s="21">
        <f>('SEI Scenario LAT'!ED7)</f>
        <v>0</v>
      </c>
      <c r="AU4" s="21">
        <f>('SEI Scenario LAT'!AJ7)</f>
        <v>-1.3946871461627233E-3</v>
      </c>
    </row>
    <row r="5" spans="1:47" ht="15" customHeight="1" x14ac:dyDescent="0.35">
      <c r="A5" s="80"/>
      <c r="B5" s="17">
        <v>2024</v>
      </c>
      <c r="C5" s="21">
        <f t="shared" ref="C5:C10" si="0">C4+($C$11-$C$4)/($B$11-$B$4)</f>
        <v>0.25428571428571428</v>
      </c>
      <c r="D5" s="21">
        <f t="shared" ref="D5:D10" si="1">D4+($D$11-$D$4)/($B$11-$B$4)</f>
        <v>0.16714285714285715</v>
      </c>
      <c r="E5" s="21">
        <f>E4+($E$11-$E$4)/($B$11-$B$4)</f>
        <v>7.7142857142857135E-3</v>
      </c>
      <c r="H5" s="80"/>
      <c r="I5" s="17">
        <v>2024</v>
      </c>
      <c r="J5" s="21">
        <f t="shared" ref="J5:J20" si="2">J4+($J$21-$J$4)/($B$21-$B$4)</f>
        <v>0.24941176470588236</v>
      </c>
      <c r="K5" s="44">
        <v>0.16600000000000001</v>
      </c>
      <c r="L5" s="44">
        <v>1.0999999999999999E-2</v>
      </c>
      <c r="O5" s="80"/>
      <c r="P5" s="17">
        <v>2024</v>
      </c>
      <c r="Q5" s="21">
        <f>Q4+($J$21-$J$4)/($B$21-$B$4)</f>
        <v>0.24941176470588236</v>
      </c>
      <c r="R5" s="44">
        <v>0.16600000000000001</v>
      </c>
      <c r="S5" s="44">
        <v>1.0999999999999999E-2</v>
      </c>
      <c r="V5" s="80"/>
      <c r="W5" s="17">
        <v>2025</v>
      </c>
      <c r="X5" s="21">
        <f>'SEI Scenario LAT'!BK9</f>
        <v>0.25402911198604222</v>
      </c>
      <c r="Y5" s="21">
        <f>'SEI Scenario LAT'!EB9</f>
        <v>0.16619307836408981</v>
      </c>
      <c r="Z5" s="21">
        <f>'SEI Scenario LAT'!AH9</f>
        <v>1.9652005046659721E-2</v>
      </c>
      <c r="AD5" s="80"/>
      <c r="AE5" s="17">
        <v>2024</v>
      </c>
      <c r="AF5" s="7"/>
      <c r="AG5" s="7"/>
      <c r="AH5" s="7"/>
      <c r="AM5" s="80"/>
      <c r="AN5" s="17">
        <v>2025</v>
      </c>
      <c r="AO5" s="21">
        <f>(1-'SEI Scenario LAT'!BM8)</f>
        <v>0.99317774166456152</v>
      </c>
      <c r="AP5" s="21">
        <f>(1-'SEI Scenario LAT'!ED8)</f>
        <v>0.99649516835453533</v>
      </c>
      <c r="AQ5" s="21">
        <f>(1-'SEI Scenario LAT'!AJ8)</f>
        <v>0.99332310795678724</v>
      </c>
      <c r="AR5" s="17">
        <v>2025</v>
      </c>
      <c r="AS5" s="21">
        <f>('SEI Scenario LAT'!BM8)</f>
        <v>6.822258335438515E-3</v>
      </c>
      <c r="AT5" s="21">
        <f>('SEI Scenario LAT'!ED8)</f>
        <v>3.5048316454646192E-3</v>
      </c>
      <c r="AU5" s="21">
        <f>('SEI Scenario LAT'!AJ8)</f>
        <v>6.6768920432127774E-3</v>
      </c>
    </row>
    <row r="6" spans="1:47" ht="15" customHeight="1" x14ac:dyDescent="0.35">
      <c r="A6" s="80"/>
      <c r="B6" s="17">
        <v>2025</v>
      </c>
      <c r="C6" s="21">
        <f t="shared" si="0"/>
        <v>0.27857142857142858</v>
      </c>
      <c r="D6" s="21">
        <f t="shared" si="1"/>
        <v>0.1842857142857143</v>
      </c>
      <c r="E6" s="21">
        <f>E5+($C$11-$C$4)/($B$11-$B$4)</f>
        <v>3.2000000000000001E-2</v>
      </c>
      <c r="H6" s="80"/>
      <c r="I6" s="17">
        <v>2025</v>
      </c>
      <c r="J6" s="21">
        <f t="shared" si="2"/>
        <v>0.26882352941176474</v>
      </c>
      <c r="K6" s="21">
        <f t="shared" ref="K6:K20" si="3">K5+($K$21-$K$5)/($B$21-$B$5)</f>
        <v>0.18562500000000001</v>
      </c>
      <c r="L6" s="21">
        <f t="shared" ref="L6:L20" si="4">L5+($L$21-$L$5)/($B$21-$B$5)</f>
        <v>2.9062499999999998E-2</v>
      </c>
      <c r="O6" s="80"/>
      <c r="P6" s="17">
        <v>2025</v>
      </c>
      <c r="Q6" s="21">
        <f t="shared" ref="Q6:Q30" si="5">Q5+($Q$31-$Q$4)/($B$31-$B$4)</f>
        <v>0.25922657952069716</v>
      </c>
      <c r="R6" s="21">
        <f t="shared" ref="R6:R30" si="6">R5+($R$31-$R$5)/($B$31-$B$5)</f>
        <v>0.17884615384615385</v>
      </c>
      <c r="S6" s="21">
        <f t="shared" ref="S6:S30" si="7">S5+($S$31-$S$5)/($B$31-$B$5)</f>
        <v>2.5000000000000001E-2</v>
      </c>
      <c r="V6" s="80"/>
      <c r="W6" s="17">
        <v>2026</v>
      </c>
      <c r="X6" s="21">
        <f>'SEI Scenario LAT'!BK10</f>
        <v>0.25654220097836844</v>
      </c>
      <c r="Y6" s="21">
        <f>'SEI Scenario LAT'!EB10</f>
        <v>0.16767124433711486</v>
      </c>
      <c r="Z6" s="21">
        <f>'SEI Scenario LAT'!AH10</f>
        <v>2.2224161036997345E-2</v>
      </c>
      <c r="AD6" s="80"/>
      <c r="AE6" s="17">
        <v>2025</v>
      </c>
      <c r="AF6" s="7"/>
      <c r="AG6" s="7"/>
      <c r="AH6" s="7"/>
      <c r="AM6" s="80"/>
      <c r="AN6" s="17">
        <v>2026</v>
      </c>
      <c r="AO6" s="21">
        <f>(1-'SEI Scenario LAT'!BM9)</f>
        <v>0.99144372426826477</v>
      </c>
      <c r="AP6" s="21">
        <f>(1-'SEI Scenario LAT'!ED9)</f>
        <v>0.9952971468984334</v>
      </c>
      <c r="AQ6" s="21">
        <f>(1-'SEI Scenario LAT'!AJ9)</f>
        <v>0.99056408098155024</v>
      </c>
      <c r="AR6" s="17">
        <v>2026</v>
      </c>
      <c r="AS6" s="21">
        <f>('SEI Scenario LAT'!BM9)</f>
        <v>8.5562757317351797E-3</v>
      </c>
      <c r="AT6" s="21">
        <f>('SEI Scenario LAT'!ED9)</f>
        <v>4.7028531015665641E-3</v>
      </c>
      <c r="AU6" s="21">
        <f>('SEI Scenario LAT'!AJ9)</f>
        <v>9.4359190184497566E-3</v>
      </c>
    </row>
    <row r="7" spans="1:47" ht="15" customHeight="1" x14ac:dyDescent="0.35">
      <c r="A7" s="80"/>
      <c r="B7" s="17">
        <v>2026</v>
      </c>
      <c r="C7" s="21">
        <f t="shared" si="0"/>
        <v>0.30285714285714288</v>
      </c>
      <c r="D7" s="21">
        <f t="shared" si="1"/>
        <v>0.20142857142857146</v>
      </c>
      <c r="E7" s="21">
        <f>E6+($C$11-$C$4)/($B$11-$B$4)</f>
        <v>5.6285714285714286E-2</v>
      </c>
      <c r="H7" s="80"/>
      <c r="I7" s="17">
        <v>2026</v>
      </c>
      <c r="J7" s="21">
        <f t="shared" si="2"/>
        <v>0.28823529411764709</v>
      </c>
      <c r="K7" s="21">
        <f t="shared" si="3"/>
        <v>0.20525000000000002</v>
      </c>
      <c r="L7" s="21">
        <f t="shared" si="4"/>
        <v>4.7125E-2</v>
      </c>
      <c r="O7" s="80"/>
      <c r="P7" s="17">
        <v>2026</v>
      </c>
      <c r="Q7" s="21">
        <f t="shared" si="5"/>
        <v>0.269041394335512</v>
      </c>
      <c r="R7" s="21">
        <f t="shared" si="6"/>
        <v>0.19169230769230769</v>
      </c>
      <c r="S7" s="21">
        <f t="shared" si="7"/>
        <v>3.9E-2</v>
      </c>
      <c r="V7" s="80"/>
      <c r="W7" s="17">
        <v>2027</v>
      </c>
      <c r="X7" s="21">
        <f>'SEI Scenario LAT'!BK11</f>
        <v>0.25988974148180516</v>
      </c>
      <c r="Y7" s="21">
        <f>'SEI Scenario LAT'!EB11</f>
        <v>0.16963688866228799</v>
      </c>
      <c r="Z7" s="21">
        <f>'SEI Scenario LAT'!AH11</f>
        <v>2.5661464857964462E-2</v>
      </c>
      <c r="AD7" s="80"/>
      <c r="AE7" s="17">
        <v>2026</v>
      </c>
      <c r="AF7" s="7"/>
      <c r="AG7" s="7"/>
      <c r="AH7" s="7"/>
      <c r="AM7" s="80"/>
      <c r="AN7" s="17">
        <v>2027</v>
      </c>
      <c r="AO7" s="21">
        <f>(1-'SEI Scenario LAT'!BM10)</f>
        <v>0.98913554020491612</v>
      </c>
      <c r="AP7" s="21">
        <f>(1-'SEI Scenario LAT'!ED10)</f>
        <v>0.99370243738834951</v>
      </c>
      <c r="AQ7" s="21">
        <f>(1-'SEI Scenario LAT'!AJ10)</f>
        <v>0.98689148686098904</v>
      </c>
      <c r="AR7" s="17">
        <v>2027</v>
      </c>
      <c r="AS7" s="21">
        <f>('SEI Scenario LAT'!BM10)</f>
        <v>1.0864459795083839E-2</v>
      </c>
      <c r="AT7" s="21">
        <f>('SEI Scenario LAT'!ED10)</f>
        <v>6.2975626116504643E-3</v>
      </c>
      <c r="AU7" s="21">
        <f>('SEI Scenario LAT'!AJ10)</f>
        <v>1.3108513139010902E-2</v>
      </c>
    </row>
    <row r="8" spans="1:47" ht="15" customHeight="1" x14ac:dyDescent="0.35">
      <c r="A8" s="80"/>
      <c r="B8" s="17">
        <v>2027</v>
      </c>
      <c r="C8" s="21">
        <f t="shared" si="0"/>
        <v>0.32714285714285718</v>
      </c>
      <c r="D8" s="21">
        <f t="shared" si="1"/>
        <v>0.21857142857142861</v>
      </c>
      <c r="E8" s="21">
        <f>E7+($C$11-$C$4)/($B$11-$B$4)</f>
        <v>8.0571428571428572E-2</v>
      </c>
      <c r="H8" s="80"/>
      <c r="I8" s="17">
        <v>2027</v>
      </c>
      <c r="J8" s="21">
        <f t="shared" si="2"/>
        <v>0.30764705882352944</v>
      </c>
      <c r="K8" s="21">
        <f t="shared" si="3"/>
        <v>0.22487500000000002</v>
      </c>
      <c r="L8" s="21">
        <f t="shared" si="4"/>
        <v>6.5187499999999995E-2</v>
      </c>
      <c r="O8" s="80"/>
      <c r="P8" s="17">
        <v>2027</v>
      </c>
      <c r="Q8" s="21">
        <f t="shared" si="5"/>
        <v>0.27885620915032683</v>
      </c>
      <c r="R8" s="21">
        <f t="shared" si="6"/>
        <v>0.20453846153846153</v>
      </c>
      <c r="S8" s="21">
        <f t="shared" si="7"/>
        <v>5.2999999999999999E-2</v>
      </c>
      <c r="V8" s="80"/>
      <c r="W8" s="17">
        <v>2028</v>
      </c>
      <c r="X8" s="21">
        <f>'SEI Scenario LAT'!BK12</f>
        <v>0.26432875595266897</v>
      </c>
      <c r="Y8" s="21">
        <f>'SEI Scenario LAT'!EB12</f>
        <v>0.17223757790076338</v>
      </c>
      <c r="Z8" s="21">
        <f>'SEI Scenario LAT'!AH12</f>
        <v>3.0239148784464199E-2</v>
      </c>
      <c r="AD8" s="80"/>
      <c r="AE8" s="17">
        <v>2027</v>
      </c>
      <c r="AF8" s="7"/>
      <c r="AG8" s="7"/>
      <c r="AH8" s="7"/>
      <c r="AM8" s="80"/>
      <c r="AN8" s="17">
        <v>2028</v>
      </c>
      <c r="AO8" s="21">
        <f>(1-'SEI Scenario LAT'!BM11)</f>
        <v>0.98607758282320523</v>
      </c>
      <c r="AP8" s="21">
        <f>(1-'SEI Scenario LAT'!ED11)</f>
        <v>0.99158971431938858</v>
      </c>
      <c r="AQ8" s="21">
        <f>(1-'SEI Scenario LAT'!AJ11)</f>
        <v>0.98202591462204636</v>
      </c>
      <c r="AR8" s="17">
        <v>2028</v>
      </c>
      <c r="AS8" s="21">
        <f>('SEI Scenario LAT'!BM11)</f>
        <v>1.3922417176794762E-2</v>
      </c>
      <c r="AT8" s="21">
        <f>('SEI Scenario LAT'!ED11)</f>
        <v>8.4102856806113763E-3</v>
      </c>
      <c r="AU8" s="21">
        <f>('SEI Scenario LAT'!AJ11)</f>
        <v>1.7974085377953621E-2</v>
      </c>
    </row>
    <row r="9" spans="1:47" ht="15" customHeight="1" x14ac:dyDescent="0.35">
      <c r="A9" s="80"/>
      <c r="B9" s="17">
        <v>2028</v>
      </c>
      <c r="C9" s="21">
        <f t="shared" si="0"/>
        <v>0.35142857142857148</v>
      </c>
      <c r="D9" s="21">
        <f t="shared" si="1"/>
        <v>0.23571428571428577</v>
      </c>
      <c r="E9" s="21">
        <f>E8+($C$11-$C$4)/($B$11-$B$4)</f>
        <v>0.10485714285714286</v>
      </c>
      <c r="H9" s="80"/>
      <c r="I9" s="17">
        <v>2028</v>
      </c>
      <c r="J9" s="21">
        <f t="shared" si="2"/>
        <v>0.32705882352941179</v>
      </c>
      <c r="K9" s="21">
        <f t="shared" si="3"/>
        <v>0.24450000000000002</v>
      </c>
      <c r="L9" s="21">
        <f t="shared" si="4"/>
        <v>8.3249999999999991E-2</v>
      </c>
      <c r="O9" s="80"/>
      <c r="P9" s="17">
        <v>2028</v>
      </c>
      <c r="Q9" s="21">
        <f t="shared" si="5"/>
        <v>0.28867102396514166</v>
      </c>
      <c r="R9" s="21">
        <f t="shared" si="6"/>
        <v>0.21738461538461537</v>
      </c>
      <c r="S9" s="21">
        <f t="shared" si="7"/>
        <v>6.7000000000000004E-2</v>
      </c>
      <c r="V9" s="80"/>
      <c r="W9" s="17">
        <v>2029</v>
      </c>
      <c r="X9" s="21">
        <f>'SEI Scenario LAT'!BK13</f>
        <v>0.27018007480023365</v>
      </c>
      <c r="Y9" s="21">
        <f>'SEI Scenario LAT'!EB13</f>
        <v>0.17565552992079606</v>
      </c>
      <c r="Z9" s="21">
        <f>'SEI Scenario LAT'!AH13</f>
        <v>3.6307725433915042E-2</v>
      </c>
      <c r="AD9" s="80"/>
      <c r="AE9" s="17">
        <v>2028</v>
      </c>
      <c r="AF9" s="7"/>
      <c r="AG9" s="7"/>
      <c r="AH9" s="7"/>
      <c r="AM9" s="80"/>
      <c r="AN9" s="17">
        <v>2029</v>
      </c>
      <c r="AO9" s="21">
        <f>(1-'SEI Scenario LAT'!BM12)</f>
        <v>0.98205161170578414</v>
      </c>
      <c r="AP9" s="21">
        <f>(1-'SEI Scenario LAT'!ED12)</f>
        <v>0.98880819679216025</v>
      </c>
      <c r="AQ9" s="21">
        <f>(1-'SEI Scenario LAT'!AJ12)</f>
        <v>0.97562011792230707</v>
      </c>
      <c r="AR9" s="17">
        <v>2029</v>
      </c>
      <c r="AS9" s="21">
        <f>('SEI Scenario LAT'!BM12)</f>
        <v>1.7948388294215904E-2</v>
      </c>
      <c r="AT9" s="21">
        <f>('SEI Scenario LAT'!ED12)</f>
        <v>1.1191803207839704E-2</v>
      </c>
      <c r="AU9" s="21">
        <f>('SEI Scenario LAT'!AJ12)</f>
        <v>2.4379882077692976E-2</v>
      </c>
    </row>
    <row r="10" spans="1:47" ht="15" customHeight="1" x14ac:dyDescent="0.35">
      <c r="A10" s="80"/>
      <c r="B10" s="17">
        <v>2029</v>
      </c>
      <c r="C10" s="21">
        <f t="shared" si="0"/>
        <v>0.37571428571428578</v>
      </c>
      <c r="D10" s="21">
        <f t="shared" si="1"/>
        <v>0.25285714285714289</v>
      </c>
      <c r="E10" s="21">
        <f>E9+($C$11-$C$4)/($B$11-$B$4)</f>
        <v>0.12914285714285714</v>
      </c>
      <c r="H10" s="80"/>
      <c r="I10" s="17">
        <v>2029</v>
      </c>
      <c r="J10" s="21">
        <f t="shared" si="2"/>
        <v>0.34647058823529414</v>
      </c>
      <c r="K10" s="21">
        <f t="shared" si="3"/>
        <v>0.264125</v>
      </c>
      <c r="L10" s="21">
        <f t="shared" si="4"/>
        <v>0.10131249999999999</v>
      </c>
      <c r="O10" s="80"/>
      <c r="P10" s="17">
        <v>2029</v>
      </c>
      <c r="Q10" s="21">
        <f t="shared" si="5"/>
        <v>0.29848583877995649</v>
      </c>
      <c r="R10" s="21">
        <f t="shared" si="6"/>
        <v>0.23023076923076921</v>
      </c>
      <c r="S10" s="21">
        <f t="shared" si="7"/>
        <v>8.1000000000000003E-2</v>
      </c>
      <c r="V10" s="80"/>
      <c r="W10" s="17">
        <v>2030</v>
      </c>
      <c r="X10" s="21">
        <f>'SEI Scenario LAT'!BK14</f>
        <v>0.27783261362310308</v>
      </c>
      <c r="Y10" s="21">
        <f>'SEI Scenario LAT'!EB14</f>
        <v>0.18010827906334148</v>
      </c>
      <c r="Z10" s="21">
        <f>'SEI Scenario LAT'!AH14</f>
        <v>4.43041511201945E-2</v>
      </c>
      <c r="AD10" s="80"/>
      <c r="AE10" s="17">
        <v>2029</v>
      </c>
      <c r="AF10" s="7"/>
      <c r="AG10" s="7"/>
      <c r="AH10" s="7"/>
      <c r="AM10" s="80"/>
      <c r="AN10" s="17">
        <v>2030</v>
      </c>
      <c r="AO10" s="21">
        <f>(1-'SEI Scenario LAT'!BM13)</f>
        <v>0.97679470741385965</v>
      </c>
      <c r="AP10" s="21">
        <f>(1-'SEI Scenario LAT'!ED13)</f>
        <v>0.98517623545898614</v>
      </c>
      <c r="AQ10" s="21">
        <f>(1-'SEI Scenario LAT'!AJ13)</f>
        <v>0.96725576080649478</v>
      </c>
      <c r="AR10" s="17">
        <v>2030</v>
      </c>
      <c r="AS10" s="21">
        <f>('SEI Scenario LAT'!BM13)</f>
        <v>2.3205292586140389E-2</v>
      </c>
      <c r="AT10" s="21">
        <f>('SEI Scenario LAT'!ED13)</f>
        <v>1.482376454101391E-2</v>
      </c>
      <c r="AU10" s="21">
        <f>('SEI Scenario LAT'!AJ13)</f>
        <v>3.2744239193505192E-2</v>
      </c>
    </row>
    <row r="11" spans="1:47" ht="15" customHeight="1" x14ac:dyDescent="0.35">
      <c r="A11" s="80"/>
      <c r="B11" s="50">
        <v>2030</v>
      </c>
      <c r="C11" s="51">
        <v>0.4</v>
      </c>
      <c r="D11" s="51">
        <v>0.27</v>
      </c>
      <c r="E11" s="52"/>
      <c r="H11" s="80"/>
      <c r="I11" s="17">
        <v>2030</v>
      </c>
      <c r="J11" s="21">
        <f t="shared" si="2"/>
        <v>0.36588235294117649</v>
      </c>
      <c r="K11" s="21">
        <f t="shared" si="3"/>
        <v>0.28375</v>
      </c>
      <c r="L11" s="21">
        <f t="shared" si="4"/>
        <v>0.11937499999999998</v>
      </c>
      <c r="O11" s="80"/>
      <c r="P11" s="17">
        <v>2030</v>
      </c>
      <c r="Q11" s="21">
        <f t="shared" si="5"/>
        <v>0.30830065359477132</v>
      </c>
      <c r="R11" s="21">
        <f t="shared" si="6"/>
        <v>0.24307692307692305</v>
      </c>
      <c r="S11" s="21">
        <f t="shared" si="7"/>
        <v>9.5000000000000001E-2</v>
      </c>
      <c r="V11" s="80"/>
      <c r="W11" s="17">
        <v>2031</v>
      </c>
      <c r="X11" s="21">
        <f>'SEI Scenario LAT'!BK15</f>
        <v>0.28773855837417384</v>
      </c>
      <c r="Y11" s="21">
        <f>'SEI Scenario LAT'!EB15</f>
        <v>0.18584319113525918</v>
      </c>
      <c r="Z11" s="21">
        <f>'SEI Scenario LAT'!AH15</f>
        <v>5.4757133133948838E-2</v>
      </c>
      <c r="AD11" s="80"/>
      <c r="AE11" s="50">
        <v>2030</v>
      </c>
      <c r="AF11" s="7"/>
      <c r="AG11" s="7"/>
      <c r="AH11" s="7"/>
      <c r="AM11" s="80"/>
      <c r="AN11" s="17">
        <v>2031</v>
      </c>
      <c r="AO11" s="21">
        <f>(1-'SEI Scenario LAT'!BM14)</f>
        <v>0.97000390619257648</v>
      </c>
      <c r="AP11" s="21">
        <f>(1-'SEI Scenario LAT'!ED14)</f>
        <v>0.98048451461201158</v>
      </c>
      <c r="AQ11" s="21">
        <f>(1-'SEI Scenario LAT'!AJ14)</f>
        <v>0.95645079207146133</v>
      </c>
      <c r="AR11" s="17">
        <v>2031</v>
      </c>
      <c r="AS11" s="21">
        <f>('SEI Scenario LAT'!BM14)</f>
        <v>2.9996093807423487E-2</v>
      </c>
      <c r="AT11" s="21">
        <f>('SEI Scenario LAT'!ED14)</f>
        <v>1.9515485387988436E-2</v>
      </c>
      <c r="AU11" s="21">
        <f>('SEI Scenario LAT'!AJ14)</f>
        <v>4.3549207928538683E-2</v>
      </c>
    </row>
    <row r="12" spans="1:47" ht="15" customHeight="1" x14ac:dyDescent="0.35">
      <c r="A12" s="80"/>
      <c r="B12" s="17">
        <v>2031</v>
      </c>
      <c r="C12" s="21">
        <f t="shared" ref="C12:C30" si="8">C11+($C$31-$C$11)/($B$31-$B$11)</f>
        <v>0.40500000000000003</v>
      </c>
      <c r="D12" s="21">
        <f t="shared" ref="D12:D30" si="9">D11+($D$31-$D$11)/($B$31-$B$11)</f>
        <v>0.25650000000000001</v>
      </c>
      <c r="E12" s="21">
        <f t="shared" ref="E12:E30" si="10">E11+($E$31-$E$11)/($B$31-$B$11)</f>
        <v>0</v>
      </c>
      <c r="H12" s="80"/>
      <c r="I12" s="17">
        <v>2031</v>
      </c>
      <c r="J12" s="21">
        <f t="shared" si="2"/>
        <v>0.38529411764705884</v>
      </c>
      <c r="K12" s="21">
        <f t="shared" si="3"/>
        <v>0.30337500000000001</v>
      </c>
      <c r="L12" s="21">
        <f t="shared" si="4"/>
        <v>0.13743749999999999</v>
      </c>
      <c r="O12" s="80"/>
      <c r="P12" s="17">
        <v>2031</v>
      </c>
      <c r="Q12" s="21">
        <f t="shared" si="5"/>
        <v>0.31811546840958616</v>
      </c>
      <c r="R12" s="21">
        <f t="shared" si="6"/>
        <v>0.25592307692307692</v>
      </c>
      <c r="S12" s="21">
        <f t="shared" si="7"/>
        <v>0.109</v>
      </c>
      <c r="V12" s="80"/>
      <c r="W12" s="17">
        <v>2032</v>
      </c>
      <c r="X12" s="21">
        <f>'SEI Scenario LAT'!BK16</f>
        <v>0.30039232438872221</v>
      </c>
      <c r="Y12" s="21">
        <f>'SEI Scenario LAT'!EB16</f>
        <v>0.19312170518073632</v>
      </c>
      <c r="Z12" s="21">
        <f>'SEI Scenario LAT'!AH16</f>
        <v>6.8279753665085957E-2</v>
      </c>
      <c r="AD12" s="80"/>
      <c r="AE12" s="17">
        <v>2031</v>
      </c>
      <c r="AF12" s="7"/>
      <c r="AG12" s="7"/>
      <c r="AH12" s="7"/>
      <c r="AM12" s="80"/>
      <c r="AN12" s="17">
        <v>2032</v>
      </c>
      <c r="AO12" s="21">
        <f>(1-'SEI Scenario LAT'!BM15)</f>
        <v>0.96135242029462709</v>
      </c>
      <c r="AP12" s="21">
        <f>(1-'SEI Scenario LAT'!ED15)</f>
        <v>0.97450725870036736</v>
      </c>
      <c r="AQ12" s="21">
        <f>(1-'SEI Scenario LAT'!AJ15)</f>
        <v>0.94268525372144263</v>
      </c>
      <c r="AR12" s="17">
        <v>2032</v>
      </c>
      <c r="AS12" s="21">
        <f>('SEI Scenario LAT'!BM15)</f>
        <v>3.8647579705372949E-2</v>
      </c>
      <c r="AT12" s="21">
        <f>('SEI Scenario LAT'!ED15)</f>
        <v>2.5492741299632655E-2</v>
      </c>
      <c r="AU12" s="21">
        <f>('SEI Scenario LAT'!AJ15)</f>
        <v>5.7314746278557385E-2</v>
      </c>
    </row>
    <row r="13" spans="1:47" ht="15" customHeight="1" x14ac:dyDescent="0.35">
      <c r="A13" s="80"/>
      <c r="B13" s="17">
        <v>2032</v>
      </c>
      <c r="C13" s="21">
        <f t="shared" si="8"/>
        <v>0.41000000000000003</v>
      </c>
      <c r="D13" s="21">
        <f t="shared" si="9"/>
        <v>0.24299999999999999</v>
      </c>
      <c r="E13" s="21">
        <f t="shared" si="10"/>
        <v>0</v>
      </c>
      <c r="H13" s="80"/>
      <c r="I13" s="17">
        <v>2032</v>
      </c>
      <c r="J13" s="21">
        <f t="shared" si="2"/>
        <v>0.40470588235294119</v>
      </c>
      <c r="K13" s="21">
        <f t="shared" si="3"/>
        <v>0.32300000000000001</v>
      </c>
      <c r="L13" s="21">
        <f t="shared" si="4"/>
        <v>0.1555</v>
      </c>
      <c r="O13" s="80"/>
      <c r="P13" s="17">
        <v>2032</v>
      </c>
      <c r="Q13" s="21">
        <f t="shared" si="5"/>
        <v>0.32793028322440099</v>
      </c>
      <c r="R13" s="21">
        <f t="shared" si="6"/>
        <v>0.26876923076923076</v>
      </c>
      <c r="S13" s="21">
        <f t="shared" si="7"/>
        <v>0.123</v>
      </c>
      <c r="V13" s="80"/>
      <c r="W13" s="17">
        <v>2033</v>
      </c>
      <c r="X13" s="21">
        <f>'SEI Scenario LAT'!BK17</f>
        <v>0.31628478495964657</v>
      </c>
      <c r="Y13" s="21">
        <f>'SEI Scenario LAT'!EB17</f>
        <v>0.2021889237894689</v>
      </c>
      <c r="Z13" s="21">
        <f>'SEI Scenario LAT'!AH17</f>
        <v>8.5539657107876976E-2</v>
      </c>
      <c r="AD13" s="80"/>
      <c r="AE13" s="17">
        <v>2032</v>
      </c>
      <c r="AF13" s="7"/>
      <c r="AG13" s="7"/>
      <c r="AH13" s="7"/>
      <c r="AM13" s="80"/>
      <c r="AN13" s="17">
        <v>2033</v>
      </c>
      <c r="AO13" s="21">
        <f>(1-'SEI Scenario LAT'!BM16)</f>
        <v>0.95052303599738919</v>
      </c>
      <c r="AP13" s="21">
        <f>(1-'SEI Scenario LAT'!ED16)</f>
        <v>0.96702530680520493</v>
      </c>
      <c r="AQ13" s="21">
        <f>(1-'SEI Scenario LAT'!AJ16)</f>
        <v>0.92545442116745946</v>
      </c>
      <c r="AR13" s="17">
        <v>2033</v>
      </c>
      <c r="AS13" s="21">
        <f>('SEI Scenario LAT'!BM16)</f>
        <v>4.9476964002610833E-2</v>
      </c>
      <c r="AT13" s="21">
        <f>('SEI Scenario LAT'!ED16)</f>
        <v>3.2974693194795103E-2</v>
      </c>
      <c r="AU13" s="21">
        <f>('SEI Scenario LAT'!AJ16)</f>
        <v>7.4545578832540552E-2</v>
      </c>
    </row>
    <row r="14" spans="1:47" ht="15" customHeight="1" x14ac:dyDescent="0.35">
      <c r="A14" s="80"/>
      <c r="B14" s="17">
        <v>2033</v>
      </c>
      <c r="C14" s="21">
        <f t="shared" si="8"/>
        <v>0.41500000000000004</v>
      </c>
      <c r="D14" s="21">
        <f t="shared" si="9"/>
        <v>0.22949999999999998</v>
      </c>
      <c r="E14" s="21">
        <f t="shared" si="10"/>
        <v>0</v>
      </c>
      <c r="H14" s="80"/>
      <c r="I14" s="17">
        <v>2033</v>
      </c>
      <c r="J14" s="21">
        <f t="shared" si="2"/>
        <v>0.42411764705882354</v>
      </c>
      <c r="K14" s="21">
        <f t="shared" si="3"/>
        <v>0.34262500000000001</v>
      </c>
      <c r="L14" s="21">
        <f t="shared" si="4"/>
        <v>0.17356250000000001</v>
      </c>
      <c r="O14" s="80"/>
      <c r="P14" s="17">
        <v>2033</v>
      </c>
      <c r="Q14" s="21">
        <f t="shared" si="5"/>
        <v>0.33774509803921582</v>
      </c>
      <c r="R14" s="21">
        <f t="shared" si="6"/>
        <v>0.2816153846153846</v>
      </c>
      <c r="S14" s="21">
        <f t="shared" si="7"/>
        <v>0.13700000000000001</v>
      </c>
      <c r="V14" s="80"/>
      <c r="W14" s="17">
        <v>2034</v>
      </c>
      <c r="X14" s="21">
        <f>'SEI Scenario LAT'!BK18</f>
        <v>0.33582583530120624</v>
      </c>
      <c r="Y14" s="21">
        <f>'SEI Scenario LAT'!EB18</f>
        <v>0.21322607201950505</v>
      </c>
      <c r="Z14" s="21">
        <f>'SEI Scenario LAT'!AH18</f>
        <v>0.10719532518506707</v>
      </c>
      <c r="AD14" s="80"/>
      <c r="AE14" s="17">
        <v>2033</v>
      </c>
      <c r="AF14" s="7"/>
      <c r="AG14" s="7"/>
      <c r="AH14" s="7"/>
      <c r="AM14" s="80"/>
      <c r="AN14" s="17">
        <v>2034</v>
      </c>
      <c r="AO14" s="21">
        <f>(1-'SEI Scenario LAT'!BM17)</f>
        <v>0.93726272137689703</v>
      </c>
      <c r="AP14" s="21">
        <f>(1-'SEI Scenario LAT'!ED17)</f>
        <v>0.95786384079918774</v>
      </c>
      <c r="AQ14" s="21">
        <f>(1-'SEI Scenario LAT'!AJ17)</f>
        <v>0.90435569066095056</v>
      </c>
      <c r="AR14" s="17">
        <v>2034</v>
      </c>
      <c r="AS14" s="21">
        <f>('SEI Scenario LAT'!BM17)</f>
        <v>6.2737278623102924E-2</v>
      </c>
      <c r="AT14" s="21">
        <f>('SEI Scenario LAT'!ED17)</f>
        <v>4.2136159200812297E-2</v>
      </c>
      <c r="AU14" s="21">
        <f>('SEI Scenario LAT'!AJ17)</f>
        <v>9.5644309339049452E-2</v>
      </c>
    </row>
    <row r="15" spans="1:47" ht="15" customHeight="1" x14ac:dyDescent="0.35">
      <c r="A15" s="80"/>
      <c r="B15" s="17">
        <v>2034</v>
      </c>
      <c r="C15" s="21">
        <f t="shared" si="8"/>
        <v>0.42000000000000004</v>
      </c>
      <c r="D15" s="21">
        <f t="shared" si="9"/>
        <v>0.21599999999999997</v>
      </c>
      <c r="E15" s="21">
        <f t="shared" si="10"/>
        <v>0</v>
      </c>
      <c r="H15" s="80"/>
      <c r="I15" s="17">
        <v>2034</v>
      </c>
      <c r="J15" s="21">
        <f t="shared" si="2"/>
        <v>0.44352941176470589</v>
      </c>
      <c r="K15" s="21">
        <f t="shared" si="3"/>
        <v>0.36225000000000002</v>
      </c>
      <c r="L15" s="21">
        <f t="shared" si="4"/>
        <v>0.19162500000000002</v>
      </c>
      <c r="O15" s="80"/>
      <c r="P15" s="17">
        <v>2034</v>
      </c>
      <c r="Q15" s="21">
        <f t="shared" si="5"/>
        <v>0.34755991285403065</v>
      </c>
      <c r="R15" s="21">
        <f t="shared" si="6"/>
        <v>0.29446153846153844</v>
      </c>
      <c r="S15" s="21">
        <f t="shared" si="7"/>
        <v>0.15100000000000002</v>
      </c>
      <c r="V15" s="80"/>
      <c r="W15" s="17">
        <v>2035</v>
      </c>
      <c r="X15" s="21">
        <f>'SEI Scenario LAT'!BK19</f>
        <v>0.35923586216816661</v>
      </c>
      <c r="Y15" s="21">
        <f>'SEI Scenario LAT'!EB19</f>
        <v>0.2262889346517806</v>
      </c>
      <c r="Z15" s="21">
        <f>'SEI Scenario LAT'!AH19</f>
        <v>0.13378939678991963</v>
      </c>
      <c r="AD15" s="80"/>
      <c r="AE15" s="17">
        <v>2034</v>
      </c>
      <c r="AF15" s="7"/>
      <c r="AG15" s="7"/>
      <c r="AH15" s="7"/>
      <c r="AM15" s="80"/>
      <c r="AN15" s="17">
        <v>2035</v>
      </c>
      <c r="AO15" s="21">
        <f>(1-'SEI Scenario LAT'!BM18)</f>
        <v>0.92145668890302035</v>
      </c>
      <c r="AP15" s="21">
        <f>(1-'SEI Scenario LAT'!ED18)</f>
        <v>0.94694355471671066</v>
      </c>
      <c r="AQ15" s="21">
        <f>(1-'SEI Scenario LAT'!AJ18)</f>
        <v>0.8792064216512927</v>
      </c>
      <c r="AR15" s="17">
        <v>2035</v>
      </c>
      <c r="AS15" s="21">
        <f>('SEI Scenario LAT'!BM18)</f>
        <v>7.8543311096979623E-2</v>
      </c>
      <c r="AT15" s="21">
        <f>('SEI Scenario LAT'!ED18)</f>
        <v>5.3056445283289379E-2</v>
      </c>
      <c r="AU15" s="21">
        <f>('SEI Scenario LAT'!AJ18)</f>
        <v>0.12079357834870728</v>
      </c>
    </row>
    <row r="16" spans="1:47" x14ac:dyDescent="0.35">
      <c r="A16" s="80"/>
      <c r="B16" s="17">
        <v>2035</v>
      </c>
      <c r="C16" s="21">
        <f t="shared" si="8"/>
        <v>0.42500000000000004</v>
      </c>
      <c r="D16" s="21">
        <f t="shared" si="9"/>
        <v>0.20249999999999996</v>
      </c>
      <c r="E16" s="21">
        <f t="shared" si="10"/>
        <v>0</v>
      </c>
      <c r="H16" s="80"/>
      <c r="I16" s="17">
        <v>2035</v>
      </c>
      <c r="J16" s="21">
        <f t="shared" si="2"/>
        <v>0.46294117647058824</v>
      </c>
      <c r="K16" s="21">
        <f t="shared" si="3"/>
        <v>0.38187500000000002</v>
      </c>
      <c r="L16" s="21">
        <f t="shared" si="4"/>
        <v>0.20968750000000003</v>
      </c>
      <c r="O16" s="80"/>
      <c r="P16" s="17">
        <v>2035</v>
      </c>
      <c r="Q16" s="21">
        <f t="shared" si="5"/>
        <v>0.35737472766884548</v>
      </c>
      <c r="R16" s="21">
        <f t="shared" si="6"/>
        <v>0.30730769230769228</v>
      </c>
      <c r="S16" s="21">
        <f t="shared" si="7"/>
        <v>0.16500000000000004</v>
      </c>
      <c r="V16" s="80"/>
      <c r="W16" s="17">
        <v>2036</v>
      </c>
      <c r="X16" s="21">
        <f>'SEI Scenario LAT'!BK20</f>
        <v>0.38642214179556317</v>
      </c>
      <c r="Y16" s="21">
        <f>'SEI Scenario LAT'!EB20</f>
        <v>0.24124495065888757</v>
      </c>
      <c r="Z16" s="21">
        <f>'SEI Scenario LAT'!AH20</f>
        <v>0.16560062770006045</v>
      </c>
      <c r="AD16" s="80"/>
      <c r="AE16" s="17">
        <v>2035</v>
      </c>
      <c r="AF16" s="7"/>
      <c r="AG16" s="7"/>
      <c r="AH16" s="7"/>
      <c r="AM16" s="80"/>
      <c r="AN16" s="17">
        <v>2036</v>
      </c>
      <c r="AO16" s="21">
        <f>(1-'SEI Scenario LAT'!BM19)</f>
        <v>0.90320916791446959</v>
      </c>
      <c r="AP16" s="21">
        <f>(1-'SEI Scenario LAT'!ED19)</f>
        <v>0.93433645993689685</v>
      </c>
      <c r="AQ16" s="21">
        <f>(1-'SEI Scenario LAT'!AJ19)</f>
        <v>0.85017245535653241</v>
      </c>
      <c r="AR16" s="17">
        <v>2036</v>
      </c>
      <c r="AS16" s="21">
        <f>('SEI Scenario LAT'!BM19)</f>
        <v>9.6790832085530423E-2</v>
      </c>
      <c r="AT16" s="21">
        <f>('SEI Scenario LAT'!ED19)</f>
        <v>6.5663540063103112E-2</v>
      </c>
      <c r="AU16" s="21">
        <f>('SEI Scenario LAT'!AJ19)</f>
        <v>0.14982754464346762</v>
      </c>
    </row>
    <row r="17" spans="1:47" ht="15" customHeight="1" x14ac:dyDescent="0.35">
      <c r="A17" s="80"/>
      <c r="B17" s="17">
        <v>2036</v>
      </c>
      <c r="C17" s="21">
        <f t="shared" si="8"/>
        <v>0.43000000000000005</v>
      </c>
      <c r="D17" s="21">
        <f t="shared" si="9"/>
        <v>0.18899999999999995</v>
      </c>
      <c r="E17" s="21">
        <f t="shared" si="10"/>
        <v>0</v>
      </c>
      <c r="H17" s="80"/>
      <c r="I17" s="17">
        <v>2036</v>
      </c>
      <c r="J17" s="21">
        <f t="shared" si="2"/>
        <v>0.4823529411764706</v>
      </c>
      <c r="K17" s="21">
        <f t="shared" si="3"/>
        <v>0.40150000000000002</v>
      </c>
      <c r="L17" s="21">
        <f t="shared" si="4"/>
        <v>0.22775000000000004</v>
      </c>
      <c r="O17" s="80"/>
      <c r="P17" s="17">
        <v>2036</v>
      </c>
      <c r="Q17" s="21">
        <f t="shared" si="5"/>
        <v>0.36718954248366031</v>
      </c>
      <c r="R17" s="21">
        <f t="shared" si="6"/>
        <v>0.32015384615384612</v>
      </c>
      <c r="S17" s="21">
        <f t="shared" si="7"/>
        <v>0.17900000000000005</v>
      </c>
      <c r="V17" s="80"/>
      <c r="W17" s="17">
        <v>2037</v>
      </c>
      <c r="X17" s="21">
        <f>'SEI Scenario LAT'!BK21</f>
        <v>0.41687665417324477</v>
      </c>
      <c r="Y17" s="21">
        <f>'SEI Scenario LAT'!EB21</f>
        <v>0.25773193127820498</v>
      </c>
      <c r="Z17" s="21">
        <f>'SEI Scenario LAT'!AH21</f>
        <v>0.20247744432410447</v>
      </c>
      <c r="AD17" s="80"/>
      <c r="AE17" s="17">
        <v>2036</v>
      </c>
      <c r="AF17" s="7"/>
      <c r="AG17" s="7"/>
      <c r="AH17" s="7"/>
      <c r="AM17" s="80"/>
      <c r="AN17" s="17">
        <v>2037</v>
      </c>
      <c r="AO17" s="21">
        <f>(1-'SEI Scenario LAT'!BM20)</f>
        <v>0.8829047444253374</v>
      </c>
      <c r="AP17" s="21">
        <f>(1-'SEI Scenario LAT'!ED20)</f>
        <v>0.92030826446105241</v>
      </c>
      <c r="AQ17" s="21">
        <f>(1-'SEI Scenario LAT'!AJ20)</f>
        <v>0.81786571365787042</v>
      </c>
      <c r="AR17" s="17">
        <v>2037</v>
      </c>
      <c r="AS17" s="21">
        <f>('SEI Scenario LAT'!BM20)</f>
        <v>0.11709525557466265</v>
      </c>
      <c r="AT17" s="21">
        <f>('SEI Scenario LAT'!ED20)</f>
        <v>7.9691735538947567E-2</v>
      </c>
      <c r="AU17" s="21">
        <f>('SEI Scenario LAT'!AJ20)</f>
        <v>0.18213428634212961</v>
      </c>
    </row>
    <row r="18" spans="1:47" ht="15" customHeight="1" x14ac:dyDescent="0.35">
      <c r="A18" s="80"/>
      <c r="B18" s="17">
        <v>2037</v>
      </c>
      <c r="C18" s="21">
        <f t="shared" si="8"/>
        <v>0.43500000000000005</v>
      </c>
      <c r="D18" s="21">
        <f t="shared" si="9"/>
        <v>0.17549999999999993</v>
      </c>
      <c r="E18" s="21">
        <f t="shared" si="10"/>
        <v>0</v>
      </c>
      <c r="H18" s="80"/>
      <c r="I18" s="17">
        <v>2037</v>
      </c>
      <c r="J18" s="21">
        <f t="shared" si="2"/>
        <v>0.501764705882353</v>
      </c>
      <c r="K18" s="21">
        <f t="shared" si="3"/>
        <v>0.42112500000000003</v>
      </c>
      <c r="L18" s="21">
        <f t="shared" si="4"/>
        <v>0.24581250000000004</v>
      </c>
      <c r="O18" s="80"/>
      <c r="P18" s="17">
        <v>2037</v>
      </c>
      <c r="Q18" s="21">
        <f t="shared" si="5"/>
        <v>0.37700435729847515</v>
      </c>
      <c r="R18" s="21">
        <f t="shared" si="6"/>
        <v>0.33299999999999996</v>
      </c>
      <c r="S18" s="21">
        <f t="shared" si="7"/>
        <v>0.19300000000000006</v>
      </c>
      <c r="V18" s="80"/>
      <c r="W18" s="17">
        <v>2038</v>
      </c>
      <c r="X18" s="21">
        <f>'SEI Scenario LAT'!BK22</f>
        <v>0.44964571667794828</v>
      </c>
      <c r="Y18" s="21">
        <f>'SEI Scenario LAT'!EB22</f>
        <v>0.27516462416027243</v>
      </c>
      <c r="Z18" s="21">
        <f>'SEI Scenario LAT'!AH22</f>
        <v>0.24370364594293648</v>
      </c>
      <c r="AD18" s="80"/>
      <c r="AE18" s="17">
        <v>2037</v>
      </c>
      <c r="AF18" s="7"/>
      <c r="AG18" s="7"/>
      <c r="AH18" s="7"/>
      <c r="AM18" s="80"/>
      <c r="AN18" s="17">
        <v>2038</v>
      </c>
      <c r="AO18" s="21">
        <f>(1-'SEI Scenario LAT'!BM21)</f>
        <v>0.86121688291779841</v>
      </c>
      <c r="AP18" s="21">
        <f>(1-'SEI Scenario LAT'!ED21)</f>
        <v>0.90532426056438253</v>
      </c>
      <c r="AQ18" s="21">
        <f>(1-'SEI Scenario LAT'!AJ21)</f>
        <v>0.78335775828078535</v>
      </c>
      <c r="AR18" s="17">
        <v>2038</v>
      </c>
      <c r="AS18" s="21">
        <f>('SEI Scenario LAT'!BM21)</f>
        <v>0.13878311708220156</v>
      </c>
      <c r="AT18" s="21">
        <f>('SEI Scenario LAT'!ED21)</f>
        <v>9.4675739435617412E-2</v>
      </c>
      <c r="AU18" s="21">
        <f>('SEI Scenario LAT'!AJ21)</f>
        <v>0.2166422417192147</v>
      </c>
    </row>
    <row r="19" spans="1:47" ht="15" customHeight="1" x14ac:dyDescent="0.35">
      <c r="A19" s="80"/>
      <c r="B19" s="17">
        <v>2038</v>
      </c>
      <c r="C19" s="21">
        <f t="shared" si="8"/>
        <v>0.44000000000000006</v>
      </c>
      <c r="D19" s="21">
        <f t="shared" si="9"/>
        <v>0.16199999999999992</v>
      </c>
      <c r="E19" s="21">
        <f t="shared" si="10"/>
        <v>0</v>
      </c>
      <c r="H19" s="80"/>
      <c r="I19" s="17">
        <v>2038</v>
      </c>
      <c r="J19" s="21">
        <f t="shared" si="2"/>
        <v>0.52117647058823535</v>
      </c>
      <c r="K19" s="21">
        <f t="shared" si="3"/>
        <v>0.44075000000000003</v>
      </c>
      <c r="L19" s="21">
        <f t="shared" si="4"/>
        <v>0.26387500000000003</v>
      </c>
      <c r="O19" s="80"/>
      <c r="P19" s="17">
        <v>2038</v>
      </c>
      <c r="Q19" s="21">
        <f t="shared" si="5"/>
        <v>0.38681917211328998</v>
      </c>
      <c r="R19" s="21">
        <f t="shared" si="6"/>
        <v>0.3458461538461538</v>
      </c>
      <c r="S19" s="21">
        <f t="shared" si="7"/>
        <v>0.20700000000000007</v>
      </c>
      <c r="V19" s="80"/>
      <c r="W19" s="17">
        <v>2039</v>
      </c>
      <c r="X19" s="21">
        <f>'SEI Scenario LAT'!BK23</f>
        <v>0.48341221547945562</v>
      </c>
      <c r="Y19" s="21">
        <f>'SEI Scenario LAT'!EB23</f>
        <v>0.29280346997845658</v>
      </c>
      <c r="Z19" s="21">
        <f>'SEI Scenario LAT'!AH23</f>
        <v>0.28796445165846424</v>
      </c>
      <c r="AD19" s="80"/>
      <c r="AE19" s="17">
        <v>2038</v>
      </c>
      <c r="AF19" s="7"/>
      <c r="AG19" s="7"/>
      <c r="AH19" s="7"/>
      <c r="AM19" s="80"/>
      <c r="AN19" s="17">
        <v>2039</v>
      </c>
      <c r="AO19" s="21">
        <f>(1-'SEI Scenario LAT'!BM22)</f>
        <v>0.83904012888318924</v>
      </c>
      <c r="AP19" s="21">
        <f>(1-'SEI Scenario LAT'!ED22)</f>
        <v>0.89000248396807902</v>
      </c>
      <c r="AQ19" s="21">
        <f>(1-'SEI Scenario LAT'!AJ22)</f>
        <v>0.74807191701105669</v>
      </c>
      <c r="AR19" s="17">
        <v>2039</v>
      </c>
      <c r="AS19" s="21">
        <f>('SEI Scenario LAT'!BM22)</f>
        <v>0.1609598711168107</v>
      </c>
      <c r="AT19" s="21">
        <f>('SEI Scenario LAT'!ED22)</f>
        <v>0.10999751603192098</v>
      </c>
      <c r="AU19" s="21">
        <f>('SEI Scenario LAT'!AJ22)</f>
        <v>0.25192808298894331</v>
      </c>
    </row>
    <row r="20" spans="1:47" ht="15" customHeight="1" x14ac:dyDescent="0.35">
      <c r="A20" s="80"/>
      <c r="B20" s="17">
        <v>2039</v>
      </c>
      <c r="C20" s="21">
        <f t="shared" si="8"/>
        <v>0.44500000000000006</v>
      </c>
      <c r="D20" s="21">
        <f t="shared" si="9"/>
        <v>0.14849999999999991</v>
      </c>
      <c r="E20" s="21">
        <f t="shared" si="10"/>
        <v>0</v>
      </c>
      <c r="H20" s="80"/>
      <c r="I20" s="17">
        <v>2039</v>
      </c>
      <c r="J20" s="21">
        <f t="shared" si="2"/>
        <v>0.5405882352941177</v>
      </c>
      <c r="K20" s="21">
        <f t="shared" si="3"/>
        <v>0.46037500000000003</v>
      </c>
      <c r="L20" s="21">
        <f t="shared" si="4"/>
        <v>0.28193750000000001</v>
      </c>
      <c r="O20" s="80"/>
      <c r="P20" s="17">
        <v>2039</v>
      </c>
      <c r="Q20" s="21">
        <f t="shared" si="5"/>
        <v>0.39663398692810481</v>
      </c>
      <c r="R20" s="21">
        <f t="shared" si="6"/>
        <v>0.35869230769230764</v>
      </c>
      <c r="S20" s="21">
        <f t="shared" si="7"/>
        <v>0.22100000000000009</v>
      </c>
      <c r="V20" s="80"/>
      <c r="W20" s="17">
        <v>2040</v>
      </c>
      <c r="X20" s="21">
        <f>'SEI Scenario LAT'!BK24</f>
        <v>0.51669029876481387</v>
      </c>
      <c r="Y20" s="21">
        <f>'SEI Scenario LAT'!EB24</f>
        <v>0.30987360921377172</v>
      </c>
      <c r="Z20" s="21">
        <f>'SEI Scenario LAT'!AH24</f>
        <v>0.33346592722097829</v>
      </c>
      <c r="AD20" s="80"/>
      <c r="AE20" s="17">
        <v>2039</v>
      </c>
      <c r="AF20" s="7"/>
      <c r="AG20" s="7"/>
      <c r="AH20" s="7"/>
      <c r="AM20" s="80"/>
      <c r="AN20" s="17">
        <v>2040</v>
      </c>
      <c r="AO20" s="21">
        <f>(1-'SEI Scenario LAT'!BM23)</f>
        <v>0.81735226737565037</v>
      </c>
      <c r="AP20" s="21">
        <f>(1-'SEI Scenario LAT'!ED23)</f>
        <v>0.8750184800714087</v>
      </c>
      <c r="AQ20" s="21">
        <f>(1-'SEI Scenario LAT'!AJ23)</f>
        <v>0.71356396163397162</v>
      </c>
      <c r="AR20" s="17">
        <v>2040</v>
      </c>
      <c r="AS20" s="21">
        <f>('SEI Scenario LAT'!BM23)</f>
        <v>0.18264773262434966</v>
      </c>
      <c r="AT20" s="21">
        <f>('SEI Scenario LAT'!ED23)</f>
        <v>0.12498151992859133</v>
      </c>
      <c r="AU20" s="21">
        <f>('SEI Scenario LAT'!AJ23)</f>
        <v>0.28643603836602838</v>
      </c>
    </row>
    <row r="21" spans="1:47" ht="15" customHeight="1" x14ac:dyDescent="0.35">
      <c r="A21" s="80"/>
      <c r="B21" s="17">
        <v>2040</v>
      </c>
      <c r="C21" s="21">
        <f t="shared" si="8"/>
        <v>0.45000000000000007</v>
      </c>
      <c r="D21" s="21">
        <f t="shared" si="9"/>
        <v>0.1349999999999999</v>
      </c>
      <c r="E21" s="21">
        <f t="shared" si="10"/>
        <v>0</v>
      </c>
      <c r="H21" s="80"/>
      <c r="I21" s="17">
        <v>2040</v>
      </c>
      <c r="J21" s="44">
        <v>0.56000000000000005</v>
      </c>
      <c r="K21" s="44">
        <v>0.48</v>
      </c>
      <c r="L21" s="44">
        <v>0.3</v>
      </c>
      <c r="O21" s="80"/>
      <c r="P21" s="17">
        <v>2040</v>
      </c>
      <c r="Q21" s="21">
        <f t="shared" si="5"/>
        <v>0.40644880174291964</v>
      </c>
      <c r="R21" s="21">
        <f t="shared" si="6"/>
        <v>0.37153846153846148</v>
      </c>
      <c r="S21" s="21">
        <f t="shared" si="7"/>
        <v>0.2350000000000001</v>
      </c>
      <c r="V21" s="80"/>
      <c r="W21" s="17">
        <v>2041</v>
      </c>
      <c r="X21" s="21">
        <f>'SEI Scenario LAT'!BK25</f>
        <v>0.54807764961944394</v>
      </c>
      <c r="Y21" s="21">
        <f>'SEI Scenario LAT'!EB25</f>
        <v>0.32569612155402827</v>
      </c>
      <c r="Z21" s="21">
        <f>'SEI Scenario LAT'!AH25</f>
        <v>0.37820379883834299</v>
      </c>
      <c r="AD21" s="80"/>
      <c r="AE21" s="17">
        <v>2040</v>
      </c>
      <c r="AF21" s="7"/>
      <c r="AG21" s="7"/>
      <c r="AH21" s="7"/>
      <c r="AM21" s="80"/>
      <c r="AN21" s="17">
        <v>2041</v>
      </c>
      <c r="AO21" s="21">
        <f>(1-'SEI Scenario LAT'!BM24)</f>
        <v>0.79704784388651784</v>
      </c>
      <c r="AP21" s="21">
        <f>(1-'SEI Scenario LAT'!ED24)</f>
        <v>0.86099028459556415</v>
      </c>
      <c r="AQ21" s="21">
        <f>(1-'SEI Scenario LAT'!AJ24)</f>
        <v>0.68125721993530952</v>
      </c>
      <c r="AR21" s="17">
        <v>2041</v>
      </c>
      <c r="AS21" s="21">
        <f>('SEI Scenario LAT'!BM24)</f>
        <v>0.20295215611348211</v>
      </c>
      <c r="AT21" s="21">
        <f>('SEI Scenario LAT'!ED24)</f>
        <v>0.13900971540443588</v>
      </c>
      <c r="AU21" s="21">
        <f>('SEI Scenario LAT'!AJ24)</f>
        <v>0.31874278006469042</v>
      </c>
    </row>
    <row r="22" spans="1:47" ht="15" hidden="1" customHeight="1" x14ac:dyDescent="0.35">
      <c r="A22" s="80"/>
      <c r="B22" s="17">
        <v>2041</v>
      </c>
      <c r="C22" s="21">
        <f t="shared" si="8"/>
        <v>0.45500000000000007</v>
      </c>
      <c r="D22" s="21">
        <f t="shared" si="9"/>
        <v>0.1214999999999999</v>
      </c>
      <c r="E22" s="21">
        <f t="shared" si="10"/>
        <v>0</v>
      </c>
      <c r="H22" s="80"/>
      <c r="I22" s="17">
        <v>2041</v>
      </c>
      <c r="J22" s="21">
        <f t="shared" ref="J22:J30" si="11">J21+($J$31-$J$21)/($B$31-$B$21)</f>
        <v>0.56400000000000006</v>
      </c>
      <c r="K22" s="21">
        <f t="shared" ref="K22:K30" si="12">K21+($K$31-$K$21)/($B$31-$B$21)</f>
        <v>0.49399999999999999</v>
      </c>
      <c r="L22" s="21">
        <f t="shared" ref="L22:L30" si="13">L21+($L$31-$L$21)/($B$31-$B$21)</f>
        <v>0.32999999999999996</v>
      </c>
      <c r="O22" s="80"/>
      <c r="P22" s="17">
        <v>2041</v>
      </c>
      <c r="Q22" s="21">
        <f t="shared" si="5"/>
        <v>0.41626361655773447</v>
      </c>
      <c r="R22" s="21">
        <f t="shared" si="6"/>
        <v>0.38438461538461532</v>
      </c>
      <c r="S22" s="21">
        <f t="shared" si="7"/>
        <v>0.24900000000000011</v>
      </c>
      <c r="V22" s="80"/>
      <c r="W22" s="17">
        <v>2042</v>
      </c>
      <c r="X22" s="21">
        <f>'SEI Scenario LAT'!BK26</f>
        <v>0.57647885440356061</v>
      </c>
      <c r="Y22" s="21">
        <f>'SEI Scenario LAT'!EB26</f>
        <v>0.33978664456002172</v>
      </c>
      <c r="Z22" s="21">
        <f>'SEI Scenario LAT'!AH26</f>
        <v>0.42030424043777254</v>
      </c>
      <c r="AD22" s="80"/>
      <c r="AE22" s="17">
        <v>2041</v>
      </c>
      <c r="AF22" s="7"/>
      <c r="AG22" s="7"/>
      <c r="AH22" s="7"/>
      <c r="AM22" s="80"/>
      <c r="AN22" s="17">
        <v>2042</v>
      </c>
      <c r="AO22" s="21">
        <f>(1-'SEI Scenario LAT'!BM25)</f>
        <v>0.77880032289796741</v>
      </c>
      <c r="AP22" s="21">
        <f>(1-'SEI Scenario LAT'!ED25)</f>
        <v>0.84838318981575078</v>
      </c>
      <c r="AQ22" s="21">
        <f>(1-'SEI Scenario LAT'!AJ25)</f>
        <v>0.65222325364054923</v>
      </c>
      <c r="AR22" s="17">
        <v>2042</v>
      </c>
      <c r="AS22" s="21">
        <f>('SEI Scenario LAT'!BM25)</f>
        <v>0.22119967710203256</v>
      </c>
      <c r="AT22" s="21">
        <f>('SEI Scenario LAT'!ED25)</f>
        <v>0.15161681018424916</v>
      </c>
      <c r="AU22" s="21">
        <f>('SEI Scenario LAT'!AJ25)</f>
        <v>0.34777674635945077</v>
      </c>
    </row>
    <row r="23" spans="1:47" ht="15" hidden="1" customHeight="1" x14ac:dyDescent="0.35">
      <c r="A23" s="80"/>
      <c r="B23" s="17">
        <v>2042</v>
      </c>
      <c r="C23" s="21">
        <f t="shared" si="8"/>
        <v>0.46000000000000008</v>
      </c>
      <c r="D23" s="21">
        <f t="shared" si="9"/>
        <v>0.1079999999999999</v>
      </c>
      <c r="E23" s="21">
        <f t="shared" si="10"/>
        <v>0</v>
      </c>
      <c r="H23" s="80"/>
      <c r="I23" s="17">
        <v>2042</v>
      </c>
      <c r="J23" s="21">
        <f t="shared" si="11"/>
        <v>0.56800000000000006</v>
      </c>
      <c r="K23" s="21">
        <f t="shared" si="12"/>
        <v>0.50800000000000001</v>
      </c>
      <c r="L23" s="21">
        <f t="shared" si="13"/>
        <v>0.36</v>
      </c>
      <c r="O23" s="80"/>
      <c r="P23" s="17">
        <v>2042</v>
      </c>
      <c r="Q23" s="21">
        <f t="shared" si="5"/>
        <v>0.4260784313725493</v>
      </c>
      <c r="R23" s="21">
        <f t="shared" si="6"/>
        <v>0.39723076923076917</v>
      </c>
      <c r="S23" s="21">
        <f t="shared" si="7"/>
        <v>0.26300000000000012</v>
      </c>
      <c r="V23" s="80"/>
      <c r="W23" s="17">
        <v>2043</v>
      </c>
      <c r="X23" s="21">
        <f>'SEI Scenario LAT'!BK27</f>
        <v>0.6012295068928879</v>
      </c>
      <c r="Y23" s="21">
        <f>'SEI Scenario LAT'!EB27</f>
        <v>0.35189434622699228</v>
      </c>
      <c r="Z23" s="21">
        <f>'SEI Scenario LAT'!AH27</f>
        <v>0.45831959093280639</v>
      </c>
      <c r="AD23" s="80"/>
      <c r="AE23" s="17">
        <v>2042</v>
      </c>
      <c r="AF23" s="7"/>
      <c r="AG23" s="7"/>
      <c r="AH23" s="7"/>
      <c r="AM23" s="80"/>
      <c r="AN23" s="17">
        <v>2043</v>
      </c>
      <c r="AO23" s="21">
        <f>(1-'SEI Scenario LAT'!BM26)</f>
        <v>0.76299429042409062</v>
      </c>
      <c r="AP23" s="21">
        <f>(1-'SEI Scenario LAT'!ED26)</f>
        <v>0.83746290373327381</v>
      </c>
      <c r="AQ23" s="21">
        <f>(1-'SEI Scenario LAT'!AJ26)</f>
        <v>0.62707398463089148</v>
      </c>
      <c r="AR23" s="17">
        <v>2043</v>
      </c>
      <c r="AS23" s="21">
        <f>('SEI Scenario LAT'!BM26)</f>
        <v>0.23700570957590938</v>
      </c>
      <c r="AT23" s="21">
        <f>('SEI Scenario LAT'!ED26)</f>
        <v>0.16253709626672622</v>
      </c>
      <c r="AU23" s="21">
        <f>('SEI Scenario LAT'!AJ26)</f>
        <v>0.37292601536910858</v>
      </c>
    </row>
    <row r="24" spans="1:47" ht="15" hidden="1" customHeight="1" x14ac:dyDescent="0.35">
      <c r="A24" s="80"/>
      <c r="B24" s="17">
        <v>2043</v>
      </c>
      <c r="C24" s="21">
        <f t="shared" si="8"/>
        <v>0.46500000000000008</v>
      </c>
      <c r="D24" s="21">
        <f t="shared" si="9"/>
        <v>9.4499999999999904E-2</v>
      </c>
      <c r="E24" s="21">
        <f t="shared" si="10"/>
        <v>0</v>
      </c>
      <c r="H24" s="80"/>
      <c r="I24" s="17">
        <v>2043</v>
      </c>
      <c r="J24" s="21">
        <f t="shared" si="11"/>
        <v>0.57200000000000006</v>
      </c>
      <c r="K24" s="21">
        <f t="shared" si="12"/>
        <v>0.52200000000000002</v>
      </c>
      <c r="L24" s="21">
        <f t="shared" si="13"/>
        <v>0.39</v>
      </c>
      <c r="O24" s="80"/>
      <c r="P24" s="17">
        <v>2043</v>
      </c>
      <c r="Q24" s="21">
        <f t="shared" si="5"/>
        <v>0.43589324618736414</v>
      </c>
      <c r="R24" s="21">
        <f t="shared" si="6"/>
        <v>0.41007692307692301</v>
      </c>
      <c r="S24" s="21">
        <f t="shared" si="7"/>
        <v>0.27700000000000014</v>
      </c>
      <c r="V24" s="80"/>
      <c r="W24" s="17">
        <v>2044</v>
      </c>
      <c r="X24" s="21">
        <f>'SEI Scenario LAT'!BK28</f>
        <v>0.62210176864554878</v>
      </c>
      <c r="Y24" s="21">
        <f>'SEI Scenario LAT'!EB28</f>
        <v>0.3619829152429328</v>
      </c>
      <c r="Z24" s="21">
        <f>'SEI Scenario LAT'!AH28</f>
        <v>0.49138705684575334</v>
      </c>
      <c r="AD24" s="80"/>
      <c r="AE24" s="17">
        <v>2043</v>
      </c>
      <c r="AF24" s="7"/>
      <c r="AG24" s="7"/>
      <c r="AH24" s="7"/>
      <c r="AM24" s="80"/>
      <c r="AN24" s="17">
        <v>2044</v>
      </c>
      <c r="AO24" s="21">
        <f>(1-'SEI Scenario LAT'!BM27)</f>
        <v>0.74973397580359857</v>
      </c>
      <c r="AP24" s="21">
        <f>(1-'SEI Scenario LAT'!ED27)</f>
        <v>0.82830143772725651</v>
      </c>
      <c r="AQ24" s="21">
        <f>(1-'SEI Scenario LAT'!AJ27)</f>
        <v>0.60597525412438258</v>
      </c>
      <c r="AR24" s="17">
        <v>2044</v>
      </c>
      <c r="AS24" s="21">
        <f>('SEI Scenario LAT'!BM27)</f>
        <v>0.25026602419640148</v>
      </c>
      <c r="AT24" s="21">
        <f>('SEI Scenario LAT'!ED27)</f>
        <v>0.17169856227274347</v>
      </c>
      <c r="AU24" s="21">
        <f>('SEI Scenario LAT'!AJ27)</f>
        <v>0.39402474587561742</v>
      </c>
    </row>
    <row r="25" spans="1:47" ht="15" hidden="1" customHeight="1" x14ac:dyDescent="0.35">
      <c r="A25" s="80"/>
      <c r="B25" s="17">
        <v>2044</v>
      </c>
      <c r="C25" s="21">
        <f t="shared" si="8"/>
        <v>0.47000000000000008</v>
      </c>
      <c r="D25" s="21">
        <f t="shared" si="9"/>
        <v>8.0999999999999905E-2</v>
      </c>
      <c r="E25" s="21">
        <f t="shared" si="10"/>
        <v>0</v>
      </c>
      <c r="H25" s="80"/>
      <c r="I25" s="17">
        <v>2044</v>
      </c>
      <c r="J25" s="21">
        <f t="shared" si="11"/>
        <v>0.57600000000000007</v>
      </c>
      <c r="K25" s="21">
        <f t="shared" si="12"/>
        <v>0.53600000000000003</v>
      </c>
      <c r="L25" s="21">
        <f t="shared" si="13"/>
        <v>0.42000000000000004</v>
      </c>
      <c r="O25" s="80"/>
      <c r="P25" s="17">
        <v>2044</v>
      </c>
      <c r="Q25" s="21">
        <f t="shared" si="5"/>
        <v>0.44570806100217897</v>
      </c>
      <c r="R25" s="21">
        <f t="shared" si="6"/>
        <v>0.42292307692307685</v>
      </c>
      <c r="S25" s="21">
        <f t="shared" si="7"/>
        <v>0.29100000000000015</v>
      </c>
      <c r="V25" s="80"/>
      <c r="W25" s="17">
        <v>2045</v>
      </c>
      <c r="X25" s="21">
        <f>'SEI Scenario LAT'!BK29</f>
        <v>0.63922123531472075</v>
      </c>
      <c r="Y25" s="21">
        <f>'SEI Scenario LAT'!EB29</f>
        <v>0.3701756971597791</v>
      </c>
      <c r="Z25" s="21">
        <f>'SEI Scenario LAT'!AH29</f>
        <v>0.51922844259634771</v>
      </c>
      <c r="AD25" s="80"/>
      <c r="AE25" s="17">
        <v>2044</v>
      </c>
      <c r="AF25" s="7"/>
      <c r="AG25" s="7"/>
      <c r="AH25" s="7"/>
      <c r="AM25" s="80"/>
      <c r="AN25" s="17">
        <v>2045</v>
      </c>
      <c r="AO25" s="21">
        <f>(1-'SEI Scenario LAT'!BM28)</f>
        <v>0.73890459150636079</v>
      </c>
      <c r="AP25" s="21">
        <f>(1-'SEI Scenario LAT'!ED28)</f>
        <v>0.8208194858320943</v>
      </c>
      <c r="AQ25" s="21">
        <f>(1-'SEI Scenario LAT'!AJ28)</f>
        <v>0.58874442157039919</v>
      </c>
      <c r="AR25" s="17">
        <v>2045</v>
      </c>
      <c r="AS25" s="21">
        <f>('SEI Scenario LAT'!BM28)</f>
        <v>0.26109540849363916</v>
      </c>
      <c r="AT25" s="21">
        <f>('SEI Scenario LAT'!ED28)</f>
        <v>0.17918051416790576</v>
      </c>
      <c r="AU25" s="21">
        <f>('SEI Scenario LAT'!AJ28)</f>
        <v>0.41125557842960087</v>
      </c>
    </row>
    <row r="26" spans="1:47" ht="15" hidden="1" customHeight="1" x14ac:dyDescent="0.35">
      <c r="A26" s="80"/>
      <c r="B26" s="17">
        <v>2045</v>
      </c>
      <c r="C26" s="21">
        <f t="shared" si="8"/>
        <v>0.47500000000000009</v>
      </c>
      <c r="D26" s="21">
        <f t="shared" si="9"/>
        <v>6.7499999999999907E-2</v>
      </c>
      <c r="E26" s="21">
        <f t="shared" si="10"/>
        <v>0</v>
      </c>
      <c r="H26" s="80"/>
      <c r="I26" s="17">
        <v>2045</v>
      </c>
      <c r="J26" s="21">
        <f t="shared" si="11"/>
        <v>0.58000000000000007</v>
      </c>
      <c r="K26" s="21">
        <f t="shared" si="12"/>
        <v>0.55000000000000004</v>
      </c>
      <c r="L26" s="21">
        <f t="shared" si="13"/>
        <v>0.45000000000000007</v>
      </c>
      <c r="O26" s="80"/>
      <c r="P26" s="17">
        <v>2045</v>
      </c>
      <c r="Q26" s="21">
        <f t="shared" si="5"/>
        <v>0.4555228758169938</v>
      </c>
      <c r="R26" s="21">
        <f t="shared" si="6"/>
        <v>0.43576923076923069</v>
      </c>
      <c r="S26" s="21">
        <f t="shared" si="7"/>
        <v>0.30500000000000016</v>
      </c>
      <c r="V26" s="80"/>
      <c r="W26" s="17">
        <v>2046</v>
      </c>
      <c r="X26" s="21">
        <f>'SEI Scenario LAT'!BK30</f>
        <v>0.65294562379189303</v>
      </c>
      <c r="Y26" s="21">
        <f>'SEI Scenario LAT'!EB30</f>
        <v>0.3766911357682749</v>
      </c>
      <c r="Z26" s="21">
        <f>'SEI Scenario LAT'!AH30</f>
        <v>0.54203369927603551</v>
      </c>
      <c r="AD26" s="80"/>
      <c r="AE26" s="17">
        <v>2045</v>
      </c>
      <c r="AF26" s="7"/>
      <c r="AG26" s="7"/>
      <c r="AH26" s="7"/>
      <c r="AM26" s="80"/>
      <c r="AN26" s="17">
        <v>2046</v>
      </c>
      <c r="AO26" s="21">
        <f>(1-'SEI Scenario LAT'!BM29)</f>
        <v>0.73025310560841095</v>
      </c>
      <c r="AP26" s="21">
        <f>(1-'SEI Scenario LAT'!ED29)</f>
        <v>0.81484222992044986</v>
      </c>
      <c r="AQ26" s="21">
        <f>(1-'SEI Scenario LAT'!AJ29)</f>
        <v>0.5749788832203806</v>
      </c>
      <c r="AR26" s="17">
        <v>2046</v>
      </c>
      <c r="AS26" s="21">
        <f>('SEI Scenario LAT'!BM29)</f>
        <v>0.269746894391589</v>
      </c>
      <c r="AT26" s="21">
        <f>('SEI Scenario LAT'!ED29)</f>
        <v>0.18515777007955012</v>
      </c>
      <c r="AU26" s="21">
        <f>('SEI Scenario LAT'!AJ29)</f>
        <v>0.42502111677961935</v>
      </c>
    </row>
    <row r="27" spans="1:47" ht="15" hidden="1" customHeight="1" x14ac:dyDescent="0.35">
      <c r="A27" s="80"/>
      <c r="B27" s="17">
        <v>2046</v>
      </c>
      <c r="C27" s="21">
        <f t="shared" si="8"/>
        <v>0.48000000000000009</v>
      </c>
      <c r="D27" s="21">
        <f t="shared" si="9"/>
        <v>5.3999999999999909E-2</v>
      </c>
      <c r="E27" s="21">
        <f t="shared" si="10"/>
        <v>0</v>
      </c>
      <c r="H27" s="80"/>
      <c r="I27" s="17">
        <v>2046</v>
      </c>
      <c r="J27" s="21">
        <f t="shared" si="11"/>
        <v>0.58400000000000007</v>
      </c>
      <c r="K27" s="21">
        <f t="shared" si="12"/>
        <v>0.56400000000000006</v>
      </c>
      <c r="L27" s="21">
        <f t="shared" si="13"/>
        <v>0.48000000000000009</v>
      </c>
      <c r="O27" s="80"/>
      <c r="P27" s="17">
        <v>2046</v>
      </c>
      <c r="Q27" s="21">
        <f t="shared" si="5"/>
        <v>0.46533769063180863</v>
      </c>
      <c r="R27" s="21">
        <f t="shared" si="6"/>
        <v>0.44861538461538453</v>
      </c>
      <c r="S27" s="21">
        <f t="shared" si="7"/>
        <v>0.31900000000000017</v>
      </c>
      <c r="V27" s="80"/>
      <c r="W27" s="17">
        <v>2047</v>
      </c>
      <c r="X27" s="21">
        <f>'SEI Scenario LAT'!BK31</f>
        <v>0.66374818662575896</v>
      </c>
      <c r="Y27" s="21">
        <f>'SEI Scenario LAT'!EB31</f>
        <v>0.38178692994708802</v>
      </c>
      <c r="Z27" s="21">
        <f>'SEI Scenario LAT'!AH31</f>
        <v>0.56029660602120746</v>
      </c>
      <c r="AD27" s="80"/>
      <c r="AE27" s="17">
        <v>2046</v>
      </c>
      <c r="AF27" s="7"/>
      <c r="AG27" s="7"/>
      <c r="AH27" s="7"/>
      <c r="AM27" s="80"/>
      <c r="AN27" s="17">
        <v>2047</v>
      </c>
      <c r="AO27" s="21">
        <f>(1-'SEI Scenario LAT'!BM30)</f>
        <v>0.723462304387128</v>
      </c>
      <c r="AP27" s="21">
        <f>(1-'SEI Scenario LAT'!ED30)</f>
        <v>0.8101505090734753</v>
      </c>
      <c r="AQ27" s="21">
        <f>(1-'SEI Scenario LAT'!AJ30)</f>
        <v>0.56417391448534715</v>
      </c>
      <c r="AR27" s="17">
        <v>2047</v>
      </c>
      <c r="AS27" s="21">
        <f>('SEI Scenario LAT'!BM30)</f>
        <v>0.27653769561287195</v>
      </c>
      <c r="AT27" s="21">
        <f>('SEI Scenario LAT'!ED30)</f>
        <v>0.1898494909265247</v>
      </c>
      <c r="AU27" s="21">
        <f>('SEI Scenario LAT'!AJ30)</f>
        <v>0.43582608551465285</v>
      </c>
    </row>
    <row r="28" spans="1:47" ht="15" hidden="1" customHeight="1" x14ac:dyDescent="0.35">
      <c r="A28" s="80"/>
      <c r="B28" s="17">
        <v>2047</v>
      </c>
      <c r="C28" s="21">
        <f t="shared" si="8"/>
        <v>0.4850000000000001</v>
      </c>
      <c r="D28" s="21">
        <f t="shared" si="9"/>
        <v>4.0499999999999911E-2</v>
      </c>
      <c r="E28" s="21">
        <f t="shared" si="10"/>
        <v>0</v>
      </c>
      <c r="H28" s="80"/>
      <c r="I28" s="17">
        <v>2047</v>
      </c>
      <c r="J28" s="21">
        <f t="shared" si="11"/>
        <v>0.58800000000000008</v>
      </c>
      <c r="K28" s="21">
        <f t="shared" si="12"/>
        <v>0.57800000000000007</v>
      </c>
      <c r="L28" s="21">
        <f t="shared" si="13"/>
        <v>0.51000000000000012</v>
      </c>
      <c r="O28" s="80"/>
      <c r="P28" s="17">
        <v>2047</v>
      </c>
      <c r="Q28" s="21">
        <f t="shared" si="5"/>
        <v>0.47515250544662346</v>
      </c>
      <c r="R28" s="21">
        <f t="shared" si="6"/>
        <v>0.46146153846153837</v>
      </c>
      <c r="S28" s="21">
        <f t="shared" si="7"/>
        <v>0.33300000000000018</v>
      </c>
      <c r="V28" s="80"/>
      <c r="W28" s="17">
        <v>2048</v>
      </c>
      <c r="X28" s="21">
        <f>'SEI Scenario LAT'!BK32</f>
        <v>0.67212880290833676</v>
      </c>
      <c r="Y28" s="21">
        <f>'SEI Scenario LAT'!EB32</f>
        <v>0.38572065674540579</v>
      </c>
      <c r="Z28" s="21">
        <f>'SEI Scenario LAT'!AH32</f>
        <v>0.57465916616348078</v>
      </c>
      <c r="AD28" s="80"/>
      <c r="AE28" s="17">
        <v>2047</v>
      </c>
      <c r="AF28" s="7"/>
      <c r="AG28" s="7"/>
      <c r="AH28" s="7"/>
      <c r="AM28" s="80"/>
      <c r="AN28" s="17">
        <v>2048</v>
      </c>
      <c r="AO28" s="21">
        <f>(1-'SEI Scenario LAT'!BM31)</f>
        <v>0.71820540009520384</v>
      </c>
      <c r="AP28" s="21">
        <f>(1-'SEI Scenario LAT'!ED31)</f>
        <v>0.80651854774030118</v>
      </c>
      <c r="AQ28" s="21">
        <f>(1-'SEI Scenario LAT'!AJ31)</f>
        <v>0.55580955736953508</v>
      </c>
      <c r="AR28" s="17">
        <v>2048</v>
      </c>
      <c r="AS28" s="21">
        <f>('SEI Scenario LAT'!BM31)</f>
        <v>0.28179459990479622</v>
      </c>
      <c r="AT28" s="21">
        <f>('SEI Scenario LAT'!ED31)</f>
        <v>0.19348145225969879</v>
      </c>
      <c r="AU28" s="21">
        <f>('SEI Scenario LAT'!AJ31)</f>
        <v>0.44419044263046492</v>
      </c>
    </row>
    <row r="29" spans="1:47" ht="15" hidden="1" customHeight="1" x14ac:dyDescent="0.35">
      <c r="A29" s="80"/>
      <c r="B29" s="17">
        <v>2048</v>
      </c>
      <c r="C29" s="21">
        <f t="shared" si="8"/>
        <v>0.4900000000000001</v>
      </c>
      <c r="D29" s="21">
        <f t="shared" si="9"/>
        <v>2.6999999999999909E-2</v>
      </c>
      <c r="E29" s="21">
        <f t="shared" si="10"/>
        <v>0</v>
      </c>
      <c r="H29" s="80"/>
      <c r="I29" s="17">
        <v>2048</v>
      </c>
      <c r="J29" s="21">
        <f t="shared" si="11"/>
        <v>0.59200000000000008</v>
      </c>
      <c r="K29" s="21">
        <f t="shared" si="12"/>
        <v>0.59200000000000008</v>
      </c>
      <c r="L29" s="21">
        <f t="shared" si="13"/>
        <v>0.54000000000000015</v>
      </c>
      <c r="O29" s="80"/>
      <c r="P29" s="17">
        <v>2048</v>
      </c>
      <c r="Q29" s="21">
        <f t="shared" si="5"/>
        <v>0.48496732026143829</v>
      </c>
      <c r="R29" s="21">
        <f t="shared" si="6"/>
        <v>0.47430769230769221</v>
      </c>
      <c r="S29" s="21">
        <f t="shared" si="7"/>
        <v>0.3470000000000002</v>
      </c>
      <c r="V29" s="80"/>
      <c r="W29" s="17">
        <v>2049</v>
      </c>
      <c r="X29" s="21">
        <f>'SEI Scenario LAT'!BK33</f>
        <v>0.67855777594283462</v>
      </c>
      <c r="Y29" s="21">
        <f>'SEI Scenario LAT'!EB33</f>
        <v>0.38872679153591094</v>
      </c>
      <c r="Z29" s="21">
        <f>'SEI Scenario LAT'!AH33</f>
        <v>0.58579416822982855</v>
      </c>
      <c r="AD29" s="80"/>
      <c r="AE29" s="17">
        <v>2048</v>
      </c>
      <c r="AF29" s="7"/>
      <c r="AG29" s="7"/>
      <c r="AH29" s="7"/>
      <c r="AM29" s="80"/>
      <c r="AN29" s="17">
        <v>2049</v>
      </c>
      <c r="AO29" s="21">
        <f>(1-'SEI Scenario LAT'!BM32)</f>
        <v>0.71417942897778253</v>
      </c>
      <c r="AP29" s="21">
        <f>(1-'SEI Scenario LAT'!ED32)</f>
        <v>0.80373703021307286</v>
      </c>
      <c r="AQ29" s="21">
        <f>(1-'SEI Scenario LAT'!AJ32)</f>
        <v>0.54940376066979546</v>
      </c>
      <c r="AR29" s="17">
        <v>2049</v>
      </c>
      <c r="AS29" s="21">
        <f>('SEI Scenario LAT'!BM32)</f>
        <v>0.28582057102221742</v>
      </c>
      <c r="AT29" s="21">
        <f>('SEI Scenario LAT'!ED32)</f>
        <v>0.19626296978692712</v>
      </c>
      <c r="AU29" s="21">
        <f>('SEI Scenario LAT'!AJ32)</f>
        <v>0.45059623933020448</v>
      </c>
    </row>
    <row r="30" spans="1:47" ht="15" hidden="1" customHeight="1" x14ac:dyDescent="0.35">
      <c r="A30" s="80"/>
      <c r="B30" s="17">
        <v>2049</v>
      </c>
      <c r="C30" s="21">
        <f t="shared" si="8"/>
        <v>0.49500000000000011</v>
      </c>
      <c r="D30" s="21">
        <f t="shared" si="9"/>
        <v>1.3499999999999908E-2</v>
      </c>
      <c r="E30" s="21">
        <f t="shared" si="10"/>
        <v>0</v>
      </c>
      <c r="H30" s="80"/>
      <c r="I30" s="17">
        <v>2049</v>
      </c>
      <c r="J30" s="21">
        <f t="shared" si="11"/>
        <v>0.59600000000000009</v>
      </c>
      <c r="K30" s="21">
        <f t="shared" si="12"/>
        <v>0.60600000000000009</v>
      </c>
      <c r="L30" s="21">
        <f t="shared" si="13"/>
        <v>0.57000000000000017</v>
      </c>
      <c r="O30" s="80"/>
      <c r="P30" s="17">
        <v>2049</v>
      </c>
      <c r="Q30" s="21">
        <f t="shared" si="5"/>
        <v>0.49478213507625313</v>
      </c>
      <c r="R30" s="21">
        <f t="shared" si="6"/>
        <v>0.48715384615384605</v>
      </c>
      <c r="S30" s="21">
        <f t="shared" si="7"/>
        <v>0.36100000000000021</v>
      </c>
      <c r="V30" s="80"/>
      <c r="W30" s="17">
        <v>2050</v>
      </c>
      <c r="X30" s="21">
        <f>'SEI Scenario LAT'!BK34</f>
        <v>0.68344718193386911</v>
      </c>
      <c r="Y30" s="21">
        <f>'SEI Scenario LAT'!EB34</f>
        <v>0.39100637439679775</v>
      </c>
      <c r="Z30" s="21">
        <f>'SEI Scenario LAT'!AH34</f>
        <v>0.59433168527329883</v>
      </c>
      <c r="AD30" s="80"/>
      <c r="AE30" s="17">
        <v>2049</v>
      </c>
      <c r="AF30" s="7"/>
      <c r="AG30" s="7"/>
      <c r="AH30" s="7"/>
      <c r="AM30" s="80"/>
      <c r="AN30" s="50">
        <v>2050</v>
      </c>
      <c r="AO30" s="21">
        <f>(1-'SEI Scenario LAT'!BM33)</f>
        <v>0.71112147159607131</v>
      </c>
      <c r="AP30" s="21">
        <f>(1-'SEI Scenario LAT'!ED33)</f>
        <v>0.80162430714411181</v>
      </c>
      <c r="AQ30" s="21">
        <f>(1-'SEI Scenario LAT'!AJ33)</f>
        <v>0.54453818843085267</v>
      </c>
      <c r="AR30" s="50">
        <v>2050</v>
      </c>
      <c r="AS30" s="21">
        <f>('SEI Scenario LAT'!BM33)</f>
        <v>0.28887852840392869</v>
      </c>
      <c r="AT30" s="21">
        <f>('SEI Scenario LAT'!ED33)</f>
        <v>0.19837569285588819</v>
      </c>
      <c r="AU30" s="21">
        <f>('SEI Scenario LAT'!AJ33)</f>
        <v>0.45546181156914733</v>
      </c>
    </row>
    <row r="31" spans="1:47" ht="15" hidden="1" customHeight="1" x14ac:dyDescent="0.35">
      <c r="A31" s="80"/>
      <c r="B31" s="17">
        <v>2050</v>
      </c>
      <c r="C31" s="51">
        <v>0.5</v>
      </c>
      <c r="D31" s="7"/>
      <c r="E31" s="7"/>
      <c r="H31" s="80"/>
      <c r="I31" s="17">
        <v>2050</v>
      </c>
      <c r="J31" s="44">
        <v>0.6</v>
      </c>
      <c r="K31" s="44">
        <v>0.62</v>
      </c>
      <c r="L31" s="44">
        <v>0.6</v>
      </c>
      <c r="O31" s="80"/>
      <c r="P31" s="17">
        <v>2050</v>
      </c>
      <c r="Q31" s="44">
        <v>0.495</v>
      </c>
      <c r="R31" s="44">
        <v>0.5</v>
      </c>
      <c r="S31" s="44">
        <v>0.375</v>
      </c>
      <c r="V31" s="80"/>
      <c r="AD31" s="80"/>
      <c r="AE31" s="17">
        <v>2050</v>
      </c>
      <c r="AF31" s="7"/>
      <c r="AG31" s="7"/>
      <c r="AH31" s="7"/>
      <c r="AM31" s="80"/>
    </row>
    <row r="32" spans="1:47" x14ac:dyDescent="0.35">
      <c r="I32" s="7"/>
      <c r="P32" s="7"/>
    </row>
    <row r="33" spans="9:16" x14ac:dyDescent="0.35">
      <c r="I33" s="7"/>
      <c r="P33" s="7"/>
    </row>
    <row r="34" spans="9:16" x14ac:dyDescent="0.35">
      <c r="I34" s="7"/>
      <c r="P34" s="7"/>
    </row>
    <row r="35" spans="9:16" x14ac:dyDescent="0.35">
      <c r="I35" s="7"/>
      <c r="P35" s="7"/>
    </row>
    <row r="36" spans="9:16" x14ac:dyDescent="0.35">
      <c r="I36" s="7"/>
      <c r="P36" s="7"/>
    </row>
    <row r="37" spans="9:16" x14ac:dyDescent="0.35">
      <c r="I37" s="7"/>
      <c r="P37" s="7"/>
    </row>
    <row r="38" spans="9:16" x14ac:dyDescent="0.35">
      <c r="I38" s="7"/>
      <c r="P38" s="7"/>
    </row>
    <row r="39" spans="9:16" x14ac:dyDescent="0.35">
      <c r="I39" s="7"/>
      <c r="P39" s="7"/>
    </row>
    <row r="40" spans="9:16" x14ac:dyDescent="0.35">
      <c r="I40" s="7"/>
      <c r="P40" s="7"/>
    </row>
    <row r="41" spans="9:16" x14ac:dyDescent="0.35">
      <c r="I41" s="7"/>
      <c r="P41" s="7"/>
    </row>
    <row r="42" spans="9:16" x14ac:dyDescent="0.35">
      <c r="I42" s="7"/>
      <c r="P42" s="7"/>
    </row>
    <row r="43" spans="9:16" x14ac:dyDescent="0.35">
      <c r="I43" s="7"/>
      <c r="P43" s="7"/>
    </row>
    <row r="44" spans="9:16" x14ac:dyDescent="0.35">
      <c r="I44" s="7"/>
      <c r="P44" s="7"/>
    </row>
    <row r="45" spans="9:16" x14ac:dyDescent="0.35">
      <c r="I45" s="7"/>
      <c r="P45" s="7"/>
    </row>
    <row r="46" spans="9:16" x14ac:dyDescent="0.35">
      <c r="I46" s="7"/>
      <c r="P46" s="7"/>
    </row>
    <row r="47" spans="9:16" x14ac:dyDescent="0.35">
      <c r="I47" s="7"/>
      <c r="P47" s="7"/>
    </row>
    <row r="48" spans="9:16" x14ac:dyDescent="0.35">
      <c r="I48" s="7"/>
      <c r="P48" s="7"/>
    </row>
    <row r="49" spans="9:16" x14ac:dyDescent="0.35">
      <c r="I49" s="7"/>
      <c r="P49" s="7"/>
    </row>
    <row r="50" spans="9:16" x14ac:dyDescent="0.35">
      <c r="I50" s="7"/>
      <c r="P50" s="7"/>
    </row>
    <row r="51" spans="9:16" x14ac:dyDescent="0.35">
      <c r="I51" s="7"/>
      <c r="P51" s="7"/>
    </row>
    <row r="52" spans="9:16" x14ac:dyDescent="0.35">
      <c r="I52" s="7"/>
      <c r="P52" s="7"/>
    </row>
    <row r="53" spans="9:16" x14ac:dyDescent="0.35">
      <c r="I53" s="7"/>
      <c r="P53" s="7"/>
    </row>
    <row r="54" spans="9:16" x14ac:dyDescent="0.35">
      <c r="I54" s="7"/>
      <c r="P54" s="7"/>
    </row>
    <row r="55" spans="9:16" x14ac:dyDescent="0.35">
      <c r="I55" s="7"/>
      <c r="P55" s="7"/>
    </row>
    <row r="56" spans="9:16" x14ac:dyDescent="0.35">
      <c r="I56" s="7"/>
      <c r="P56" s="7"/>
    </row>
    <row r="57" spans="9:16" x14ac:dyDescent="0.35">
      <c r="I57" s="7"/>
      <c r="P57" s="7"/>
    </row>
    <row r="58" spans="9:16" x14ac:dyDescent="0.35">
      <c r="I58" s="7"/>
      <c r="P58" s="7"/>
    </row>
    <row r="59" spans="9:16" x14ac:dyDescent="0.35">
      <c r="I59" s="7"/>
      <c r="P59" s="7"/>
    </row>
    <row r="60" spans="9:16" x14ac:dyDescent="0.35">
      <c r="I60" s="7"/>
      <c r="P60" s="7"/>
    </row>
    <row r="61" spans="9:16" x14ac:dyDescent="0.35">
      <c r="I61" s="7"/>
      <c r="P61" s="7"/>
    </row>
    <row r="62" spans="9:16" x14ac:dyDescent="0.35">
      <c r="I62" s="7"/>
      <c r="P62" s="7"/>
    </row>
    <row r="63" spans="9:16" x14ac:dyDescent="0.35">
      <c r="I63" s="7"/>
      <c r="P63" s="7"/>
    </row>
    <row r="64" spans="9:16" x14ac:dyDescent="0.35">
      <c r="I64" s="7"/>
      <c r="P64" s="7"/>
    </row>
    <row r="65" spans="9:16" x14ac:dyDescent="0.35">
      <c r="I65" s="7"/>
      <c r="P65" s="7"/>
    </row>
    <row r="66" spans="9:16" x14ac:dyDescent="0.35">
      <c r="I66" s="7"/>
      <c r="P66" s="7"/>
    </row>
    <row r="67" spans="9:16" x14ac:dyDescent="0.35">
      <c r="I67" s="7"/>
      <c r="P67" s="7"/>
    </row>
    <row r="68" spans="9:16" x14ac:dyDescent="0.35">
      <c r="I68" s="7"/>
      <c r="P68" s="7"/>
    </row>
    <row r="69" spans="9:16" x14ac:dyDescent="0.35">
      <c r="I69" s="7"/>
      <c r="P69" s="7"/>
    </row>
    <row r="70" spans="9:16" x14ac:dyDescent="0.35">
      <c r="I70" s="7"/>
      <c r="P70" s="7"/>
    </row>
    <row r="71" spans="9:16" x14ac:dyDescent="0.35">
      <c r="I71" s="7"/>
      <c r="P71" s="7"/>
    </row>
    <row r="72" spans="9:16" x14ac:dyDescent="0.35">
      <c r="I72" s="7"/>
      <c r="P72" s="7"/>
    </row>
    <row r="73" spans="9:16" x14ac:dyDescent="0.35">
      <c r="I73" s="7"/>
      <c r="P73" s="7"/>
    </row>
    <row r="74" spans="9:16" x14ac:dyDescent="0.35">
      <c r="I74" s="7"/>
      <c r="P74" s="7"/>
    </row>
    <row r="75" spans="9:16" x14ac:dyDescent="0.35">
      <c r="I75" s="7"/>
      <c r="P75" s="7"/>
    </row>
    <row r="76" spans="9:16" x14ac:dyDescent="0.35">
      <c r="I76" s="7"/>
      <c r="P76" s="7"/>
    </row>
    <row r="77" spans="9:16" x14ac:dyDescent="0.35">
      <c r="I77" s="7"/>
      <c r="P77" s="7"/>
    </row>
    <row r="78" spans="9:16" x14ac:dyDescent="0.35">
      <c r="I78" s="7"/>
      <c r="P78" s="7"/>
    </row>
    <row r="79" spans="9:16" x14ac:dyDescent="0.35">
      <c r="I79" s="7"/>
      <c r="P79" s="7"/>
    </row>
    <row r="80" spans="9:16" x14ac:dyDescent="0.35">
      <c r="I80" s="7"/>
      <c r="P80" s="7"/>
    </row>
    <row r="81" spans="9:16" x14ac:dyDescent="0.35">
      <c r="I81" s="7"/>
      <c r="P81" s="7"/>
    </row>
    <row r="82" spans="9:16" x14ac:dyDescent="0.35">
      <c r="I82" s="7"/>
      <c r="P82" s="7"/>
    </row>
    <row r="83" spans="9:16" x14ac:dyDescent="0.35">
      <c r="I83" s="7"/>
      <c r="P83" s="7"/>
    </row>
    <row r="84" spans="9:16" x14ac:dyDescent="0.35">
      <c r="I84" s="7"/>
      <c r="P84" s="7"/>
    </row>
    <row r="85" spans="9:16" x14ac:dyDescent="0.35">
      <c r="I85" s="7"/>
      <c r="P85" s="7"/>
    </row>
    <row r="86" spans="9:16" x14ac:dyDescent="0.35">
      <c r="I86" s="7"/>
      <c r="P86" s="7"/>
    </row>
    <row r="87" spans="9:16" x14ac:dyDescent="0.35">
      <c r="I87" s="7"/>
      <c r="P87" s="7"/>
    </row>
    <row r="88" spans="9:16" x14ac:dyDescent="0.35">
      <c r="I88" s="7"/>
      <c r="P88" s="7"/>
    </row>
    <row r="89" spans="9:16" x14ac:dyDescent="0.35">
      <c r="I89" s="7"/>
      <c r="P89" s="7"/>
    </row>
    <row r="90" spans="9:16" x14ac:dyDescent="0.35">
      <c r="I90" s="7"/>
      <c r="P90" s="7"/>
    </row>
    <row r="91" spans="9:16" x14ac:dyDescent="0.35">
      <c r="I91" s="7"/>
      <c r="P91" s="7"/>
    </row>
    <row r="92" spans="9:16" x14ac:dyDescent="0.35">
      <c r="I92" s="7"/>
      <c r="P92" s="7"/>
    </row>
    <row r="93" spans="9:16" x14ac:dyDescent="0.35">
      <c r="I93" s="7"/>
      <c r="P93" s="7"/>
    </row>
    <row r="94" spans="9:16" x14ac:dyDescent="0.35">
      <c r="I94" s="7"/>
      <c r="P94" s="7"/>
    </row>
    <row r="95" spans="9:16" x14ac:dyDescent="0.35">
      <c r="I95" s="7"/>
      <c r="P95" s="7"/>
    </row>
    <row r="96" spans="9:16" x14ac:dyDescent="0.35">
      <c r="I96" s="7"/>
      <c r="P96" s="7"/>
    </row>
    <row r="97" spans="9:16" x14ac:dyDescent="0.35">
      <c r="I97" s="7"/>
      <c r="P97" s="7"/>
    </row>
    <row r="98" spans="9:16" x14ac:dyDescent="0.35">
      <c r="I98" s="7"/>
      <c r="P98" s="7"/>
    </row>
    <row r="99" spans="9:16" x14ac:dyDescent="0.35">
      <c r="I99" s="7"/>
      <c r="P99" s="7"/>
    </row>
    <row r="100" spans="9:16" x14ac:dyDescent="0.35">
      <c r="I100" s="7"/>
      <c r="P100" s="7"/>
    </row>
    <row r="101" spans="9:16" x14ac:dyDescent="0.35">
      <c r="I101" s="7"/>
      <c r="P101" s="7"/>
    </row>
    <row r="102" spans="9:16" x14ac:dyDescent="0.35">
      <c r="I102" s="7"/>
      <c r="P102" s="7"/>
    </row>
    <row r="103" spans="9:16" x14ac:dyDescent="0.35">
      <c r="I103" s="7"/>
      <c r="P103" s="7"/>
    </row>
    <row r="104" spans="9:16" x14ac:dyDescent="0.35">
      <c r="I104" s="7"/>
      <c r="P104" s="7"/>
    </row>
    <row r="105" spans="9:16" x14ac:dyDescent="0.35">
      <c r="I105" s="7"/>
      <c r="P105" s="7"/>
    </row>
    <row r="106" spans="9:16" x14ac:dyDescent="0.35">
      <c r="I106" s="7"/>
      <c r="P106" s="7"/>
    </row>
    <row r="107" spans="9:16" x14ac:dyDescent="0.35">
      <c r="I107" s="7"/>
      <c r="P107" s="7"/>
    </row>
    <row r="108" spans="9:16" x14ac:dyDescent="0.35">
      <c r="I108" s="7"/>
      <c r="P108" s="7"/>
    </row>
    <row r="109" spans="9:16" x14ac:dyDescent="0.35">
      <c r="I109" s="7"/>
      <c r="P109" s="7"/>
    </row>
    <row r="110" spans="9:16" x14ac:dyDescent="0.35">
      <c r="I110" s="7"/>
      <c r="P110" s="7"/>
    </row>
    <row r="111" spans="9:16" x14ac:dyDescent="0.35">
      <c r="I111" s="7"/>
      <c r="P111" s="7"/>
    </row>
    <row r="112" spans="9:16" x14ac:dyDescent="0.35">
      <c r="I112" s="7"/>
      <c r="P112" s="7"/>
    </row>
    <row r="113" spans="9:16" x14ac:dyDescent="0.35">
      <c r="I113" s="7"/>
      <c r="P113" s="7"/>
    </row>
    <row r="114" spans="9:16" x14ac:dyDescent="0.35">
      <c r="I114" s="7"/>
      <c r="P114" s="7"/>
    </row>
    <row r="115" spans="9:16" x14ac:dyDescent="0.35">
      <c r="I115" s="7"/>
      <c r="P115" s="7"/>
    </row>
    <row r="116" spans="9:16" x14ac:dyDescent="0.35">
      <c r="I116" s="7"/>
      <c r="P116" s="7"/>
    </row>
    <row r="117" spans="9:16" x14ac:dyDescent="0.35">
      <c r="I117" s="7"/>
      <c r="P117" s="7"/>
    </row>
    <row r="118" spans="9:16" x14ac:dyDescent="0.35">
      <c r="I118" s="7"/>
      <c r="P118" s="7"/>
    </row>
    <row r="119" spans="9:16" x14ac:dyDescent="0.35">
      <c r="I119" s="7"/>
      <c r="P119" s="7"/>
    </row>
    <row r="120" spans="9:16" x14ac:dyDescent="0.35">
      <c r="I120" s="7"/>
      <c r="P120" s="7"/>
    </row>
    <row r="121" spans="9:16" x14ac:dyDescent="0.35">
      <c r="I121" s="7"/>
      <c r="P121" s="7"/>
    </row>
    <row r="122" spans="9:16" x14ac:dyDescent="0.35">
      <c r="I122" s="7"/>
      <c r="P122" s="7"/>
    </row>
    <row r="123" spans="9:16" x14ac:dyDescent="0.35">
      <c r="I123" s="7"/>
      <c r="P123" s="7"/>
    </row>
    <row r="124" spans="9:16" x14ac:dyDescent="0.35">
      <c r="I124" s="7"/>
      <c r="P124" s="7"/>
    </row>
    <row r="125" spans="9:16" x14ac:dyDescent="0.35">
      <c r="I125" s="7"/>
      <c r="P125" s="7"/>
    </row>
    <row r="126" spans="9:16" x14ac:dyDescent="0.35">
      <c r="I126" s="7"/>
      <c r="P126" s="7"/>
    </row>
    <row r="127" spans="9:16" x14ac:dyDescent="0.35">
      <c r="I127" s="7"/>
      <c r="P127" s="7"/>
    </row>
    <row r="128" spans="9:16" x14ac:dyDescent="0.35">
      <c r="I128" s="7"/>
      <c r="P128" s="7"/>
    </row>
    <row r="129" spans="9:16" x14ac:dyDescent="0.35">
      <c r="I129" s="7"/>
      <c r="P129" s="7"/>
    </row>
    <row r="130" spans="9:16" x14ac:dyDescent="0.35">
      <c r="I130" s="7"/>
      <c r="P130" s="7"/>
    </row>
    <row r="131" spans="9:16" x14ac:dyDescent="0.35">
      <c r="I131" s="7"/>
      <c r="P131" s="7"/>
    </row>
    <row r="132" spans="9:16" x14ac:dyDescent="0.35">
      <c r="I132" s="7"/>
      <c r="P132" s="7"/>
    </row>
    <row r="133" spans="9:16" x14ac:dyDescent="0.35">
      <c r="I133" s="7"/>
      <c r="P133" s="7"/>
    </row>
    <row r="134" spans="9:16" x14ac:dyDescent="0.35">
      <c r="I134" s="7"/>
      <c r="P134" s="7"/>
    </row>
    <row r="135" spans="9:16" x14ac:dyDescent="0.35">
      <c r="I135" s="7"/>
      <c r="P135" s="7"/>
    </row>
    <row r="136" spans="9:16" x14ac:dyDescent="0.35">
      <c r="I136" s="7"/>
      <c r="P136" s="7"/>
    </row>
    <row r="137" spans="9:16" x14ac:dyDescent="0.35">
      <c r="I137" s="7"/>
      <c r="P137" s="7"/>
    </row>
    <row r="138" spans="9:16" x14ac:dyDescent="0.35">
      <c r="I138" s="7"/>
      <c r="P138" s="7"/>
    </row>
    <row r="139" spans="9:16" x14ac:dyDescent="0.35">
      <c r="I139" s="7"/>
      <c r="P139" s="7"/>
    </row>
    <row r="140" spans="9:16" x14ac:dyDescent="0.35">
      <c r="I140" s="7"/>
      <c r="P140" s="7"/>
    </row>
    <row r="141" spans="9:16" x14ac:dyDescent="0.35">
      <c r="I141" s="7"/>
      <c r="P141" s="7"/>
    </row>
    <row r="142" spans="9:16" x14ac:dyDescent="0.35">
      <c r="I142" s="7"/>
      <c r="P142" s="7"/>
    </row>
    <row r="143" spans="9:16" x14ac:dyDescent="0.35">
      <c r="I143" s="7"/>
      <c r="P143" s="7"/>
    </row>
    <row r="144" spans="9:16" x14ac:dyDescent="0.35">
      <c r="I144" s="7"/>
      <c r="P144" s="7"/>
    </row>
    <row r="145" spans="9:16" x14ac:dyDescent="0.35">
      <c r="I145" s="7"/>
      <c r="P145" s="7"/>
    </row>
    <row r="146" spans="9:16" x14ac:dyDescent="0.35">
      <c r="I146" s="7"/>
      <c r="P146" s="7"/>
    </row>
    <row r="147" spans="9:16" x14ac:dyDescent="0.35">
      <c r="I147" s="7"/>
      <c r="P147" s="7"/>
    </row>
    <row r="148" spans="9:16" x14ac:dyDescent="0.35">
      <c r="I148" s="7"/>
      <c r="P148" s="7"/>
    </row>
    <row r="149" spans="9:16" x14ac:dyDescent="0.35">
      <c r="I149" s="7"/>
      <c r="P149" s="7"/>
    </row>
    <row r="150" spans="9:16" x14ac:dyDescent="0.35">
      <c r="I150" s="7"/>
      <c r="P150" s="7"/>
    </row>
    <row r="151" spans="9:16" x14ac:dyDescent="0.35">
      <c r="I151" s="7"/>
      <c r="P151" s="7"/>
    </row>
    <row r="152" spans="9:16" x14ac:dyDescent="0.35">
      <c r="I152" s="7"/>
      <c r="P152" s="7"/>
    </row>
    <row r="153" spans="9:16" x14ac:dyDescent="0.35">
      <c r="I153" s="7"/>
      <c r="P153" s="7"/>
    </row>
    <row r="154" spans="9:16" x14ac:dyDescent="0.35">
      <c r="I154" s="7"/>
      <c r="P154" s="7"/>
    </row>
    <row r="155" spans="9:16" x14ac:dyDescent="0.35">
      <c r="I155" s="7"/>
      <c r="P155" s="7"/>
    </row>
    <row r="156" spans="9:16" x14ac:dyDescent="0.35">
      <c r="I156" s="7"/>
      <c r="P156" s="7"/>
    </row>
    <row r="157" spans="9:16" x14ac:dyDescent="0.35">
      <c r="I157" s="7"/>
      <c r="P157" s="7"/>
    </row>
    <row r="158" spans="9:16" x14ac:dyDescent="0.35">
      <c r="I158" s="7"/>
      <c r="P158" s="7"/>
    </row>
    <row r="159" spans="9:16" x14ac:dyDescent="0.35">
      <c r="I159" s="7"/>
      <c r="P159" s="7"/>
    </row>
    <row r="160" spans="9:16" x14ac:dyDescent="0.35">
      <c r="I160" s="7"/>
      <c r="P160" s="7"/>
    </row>
    <row r="161" spans="9:16" x14ac:dyDescent="0.35">
      <c r="I161" s="7"/>
      <c r="P161" s="7"/>
    </row>
    <row r="162" spans="9:16" x14ac:dyDescent="0.35">
      <c r="I162" s="7"/>
      <c r="P162" s="7"/>
    </row>
    <row r="163" spans="9:16" x14ac:dyDescent="0.35">
      <c r="I163" s="7"/>
      <c r="P163" s="7"/>
    </row>
    <row r="164" spans="9:16" x14ac:dyDescent="0.35">
      <c r="I164" s="7"/>
      <c r="P164" s="7"/>
    </row>
    <row r="165" spans="9:16" x14ac:dyDescent="0.35">
      <c r="I165" s="7"/>
      <c r="P165" s="7"/>
    </row>
    <row r="166" spans="9:16" x14ac:dyDescent="0.35">
      <c r="I166" s="7"/>
      <c r="P166" s="7"/>
    </row>
    <row r="167" spans="9:16" x14ac:dyDescent="0.35">
      <c r="I167" s="7"/>
      <c r="P167" s="7"/>
    </row>
    <row r="168" spans="9:16" x14ac:dyDescent="0.35">
      <c r="I168" s="7"/>
      <c r="P168" s="7"/>
    </row>
    <row r="169" spans="9:16" x14ac:dyDescent="0.35">
      <c r="I169" s="7"/>
      <c r="P169" s="7"/>
    </row>
    <row r="170" spans="9:16" x14ac:dyDescent="0.35">
      <c r="I170" s="7"/>
      <c r="P170" s="7"/>
    </row>
    <row r="171" spans="9:16" x14ac:dyDescent="0.35">
      <c r="I171" s="7"/>
      <c r="P171" s="7"/>
    </row>
    <row r="172" spans="9:16" x14ac:dyDescent="0.35">
      <c r="I172" s="7"/>
      <c r="P172" s="7"/>
    </row>
    <row r="173" spans="9:16" x14ac:dyDescent="0.35">
      <c r="I173" s="7"/>
      <c r="P173" s="7"/>
    </row>
    <row r="174" spans="9:16" x14ac:dyDescent="0.35">
      <c r="I174" s="7"/>
      <c r="P174" s="7"/>
    </row>
    <row r="175" spans="9:16" x14ac:dyDescent="0.35">
      <c r="I175" s="7"/>
      <c r="P175" s="7"/>
    </row>
    <row r="176" spans="9:16" x14ac:dyDescent="0.35">
      <c r="I176" s="7"/>
      <c r="P176" s="7"/>
    </row>
    <row r="177" spans="9:16" x14ac:dyDescent="0.35">
      <c r="I177" s="7"/>
      <c r="P177" s="7"/>
    </row>
    <row r="178" spans="9:16" x14ac:dyDescent="0.35">
      <c r="I178" s="7"/>
      <c r="P178" s="7"/>
    </row>
    <row r="179" spans="9:16" x14ac:dyDescent="0.35">
      <c r="I179" s="7"/>
      <c r="P179" s="7"/>
    </row>
    <row r="180" spans="9:16" x14ac:dyDescent="0.35">
      <c r="I180" s="7"/>
      <c r="P180" s="7"/>
    </row>
    <row r="181" spans="9:16" x14ac:dyDescent="0.35">
      <c r="I181" s="7"/>
      <c r="P181" s="7"/>
    </row>
    <row r="182" spans="9:16" x14ac:dyDescent="0.35">
      <c r="I182" s="7"/>
      <c r="P182" s="7"/>
    </row>
    <row r="183" spans="9:16" x14ac:dyDescent="0.35">
      <c r="I183" s="7"/>
      <c r="P183" s="7"/>
    </row>
    <row r="184" spans="9:16" x14ac:dyDescent="0.35">
      <c r="I184" s="7"/>
      <c r="P184" s="7"/>
    </row>
    <row r="185" spans="9:16" x14ac:dyDescent="0.35">
      <c r="I185" s="7"/>
      <c r="P185" s="7"/>
    </row>
    <row r="186" spans="9:16" x14ac:dyDescent="0.35">
      <c r="I186" s="7"/>
      <c r="P186" s="7"/>
    </row>
    <row r="187" spans="9:16" x14ac:dyDescent="0.35">
      <c r="I187" s="7"/>
      <c r="P187" s="7"/>
    </row>
    <row r="188" spans="9:16" x14ac:dyDescent="0.35">
      <c r="I188" s="7"/>
      <c r="P188" s="7"/>
    </row>
    <row r="189" spans="9:16" x14ac:dyDescent="0.35">
      <c r="I189" s="7"/>
      <c r="P189" s="7"/>
    </row>
    <row r="190" spans="9:16" x14ac:dyDescent="0.35">
      <c r="I190" s="7"/>
      <c r="P190" s="7"/>
    </row>
    <row r="191" spans="9:16" x14ac:dyDescent="0.35">
      <c r="I191" s="7"/>
      <c r="P191" s="7"/>
    </row>
    <row r="192" spans="9:16" x14ac:dyDescent="0.35">
      <c r="I192" s="7"/>
      <c r="P192" s="7"/>
    </row>
    <row r="193" spans="9:16" x14ac:dyDescent="0.35">
      <c r="I193" s="7"/>
      <c r="P193" s="7"/>
    </row>
    <row r="194" spans="9:16" x14ac:dyDescent="0.35">
      <c r="I194" s="7"/>
      <c r="P194" s="7"/>
    </row>
    <row r="195" spans="9:16" x14ac:dyDescent="0.35">
      <c r="I195" s="7"/>
      <c r="P195" s="7"/>
    </row>
    <row r="196" spans="9:16" x14ac:dyDescent="0.35">
      <c r="I196" s="7"/>
      <c r="P196" s="7"/>
    </row>
    <row r="197" spans="9:16" x14ac:dyDescent="0.35">
      <c r="I197" s="7"/>
      <c r="P197" s="7"/>
    </row>
    <row r="198" spans="9:16" x14ac:dyDescent="0.35">
      <c r="I198" s="7"/>
      <c r="P198" s="7"/>
    </row>
    <row r="199" spans="9:16" x14ac:dyDescent="0.35">
      <c r="I199" s="7"/>
      <c r="P199" s="7"/>
    </row>
    <row r="200" spans="9:16" x14ac:dyDescent="0.35">
      <c r="I200" s="7"/>
      <c r="P200" s="7"/>
    </row>
    <row r="201" spans="9:16" x14ac:dyDescent="0.35">
      <c r="I201" s="7"/>
      <c r="P201" s="7"/>
    </row>
    <row r="202" spans="9:16" x14ac:dyDescent="0.35">
      <c r="I202" s="7"/>
      <c r="P202" s="7"/>
    </row>
    <row r="203" spans="9:16" x14ac:dyDescent="0.35">
      <c r="I203" s="7"/>
      <c r="P203" s="7"/>
    </row>
    <row r="204" spans="9:16" x14ac:dyDescent="0.35">
      <c r="I204" s="7"/>
      <c r="P204" s="7"/>
    </row>
    <row r="205" spans="9:16" x14ac:dyDescent="0.35">
      <c r="I205" s="7"/>
      <c r="P205" s="7"/>
    </row>
    <row r="206" spans="9:16" x14ac:dyDescent="0.35">
      <c r="I206" s="7"/>
      <c r="P206" s="7"/>
    </row>
    <row r="207" spans="9:16" x14ac:dyDescent="0.35">
      <c r="I207" s="7"/>
      <c r="P207" s="7"/>
    </row>
    <row r="208" spans="9:16" x14ac:dyDescent="0.35">
      <c r="I208" s="7"/>
      <c r="P208" s="7"/>
    </row>
    <row r="209" spans="9:16" x14ac:dyDescent="0.35">
      <c r="I209" s="7"/>
      <c r="P209" s="7"/>
    </row>
    <row r="210" spans="9:16" x14ac:dyDescent="0.35">
      <c r="I210" s="7"/>
      <c r="P210" s="7"/>
    </row>
    <row r="211" spans="9:16" x14ac:dyDescent="0.35">
      <c r="I211" s="7"/>
      <c r="P211" s="7"/>
    </row>
    <row r="212" spans="9:16" x14ac:dyDescent="0.35">
      <c r="I212" s="7"/>
      <c r="P212" s="7"/>
    </row>
    <row r="213" spans="9:16" x14ac:dyDescent="0.35">
      <c r="I213" s="7"/>
      <c r="P213" s="7"/>
    </row>
    <row r="214" spans="9:16" x14ac:dyDescent="0.35">
      <c r="I214" s="7"/>
      <c r="P214" s="7"/>
    </row>
    <row r="215" spans="9:16" x14ac:dyDescent="0.35">
      <c r="I215" s="7"/>
      <c r="P215" s="7"/>
    </row>
    <row r="216" spans="9:16" x14ac:dyDescent="0.35">
      <c r="I216" s="7"/>
      <c r="P216" s="7"/>
    </row>
    <row r="217" spans="9:16" x14ac:dyDescent="0.35">
      <c r="I217" s="7"/>
      <c r="P217" s="7"/>
    </row>
    <row r="218" spans="9:16" x14ac:dyDescent="0.35">
      <c r="I218" s="7"/>
      <c r="P218" s="7"/>
    </row>
    <row r="219" spans="9:16" x14ac:dyDescent="0.35">
      <c r="I219" s="7"/>
      <c r="P219" s="7"/>
    </row>
    <row r="220" spans="9:16" x14ac:dyDescent="0.35">
      <c r="I220" s="7"/>
      <c r="P220" s="7"/>
    </row>
    <row r="221" spans="9:16" x14ac:dyDescent="0.35">
      <c r="I221" s="7"/>
      <c r="P221" s="7"/>
    </row>
    <row r="222" spans="9:16" x14ac:dyDescent="0.35">
      <c r="I222" s="7"/>
      <c r="P222" s="7"/>
    </row>
    <row r="223" spans="9:16" x14ac:dyDescent="0.35">
      <c r="I223" s="7"/>
      <c r="P223" s="7"/>
    </row>
    <row r="224" spans="9:16" x14ac:dyDescent="0.35">
      <c r="I224" s="7"/>
      <c r="P224" s="7"/>
    </row>
    <row r="225" spans="9:16" x14ac:dyDescent="0.35">
      <c r="I225" s="7"/>
      <c r="P225" s="7"/>
    </row>
    <row r="226" spans="9:16" x14ac:dyDescent="0.35">
      <c r="I226" s="7"/>
      <c r="P226" s="7"/>
    </row>
    <row r="227" spans="9:16" x14ac:dyDescent="0.35">
      <c r="I227" s="7"/>
      <c r="P227" s="7"/>
    </row>
    <row r="228" spans="9:16" x14ac:dyDescent="0.35">
      <c r="I228" s="7"/>
      <c r="P228" s="7"/>
    </row>
    <row r="229" spans="9:16" x14ac:dyDescent="0.35">
      <c r="I229" s="7"/>
      <c r="P229" s="7"/>
    </row>
    <row r="230" spans="9:16" x14ac:dyDescent="0.35">
      <c r="I230" s="7"/>
      <c r="P230" s="7"/>
    </row>
    <row r="231" spans="9:16" x14ac:dyDescent="0.35">
      <c r="I231" s="7"/>
      <c r="P231" s="7"/>
    </row>
    <row r="232" spans="9:16" x14ac:dyDescent="0.35">
      <c r="I232" s="7"/>
      <c r="P232" s="7"/>
    </row>
    <row r="233" spans="9:16" x14ac:dyDescent="0.35">
      <c r="I233" s="7"/>
      <c r="P233" s="7"/>
    </row>
    <row r="234" spans="9:16" x14ac:dyDescent="0.35">
      <c r="I234" s="7"/>
      <c r="P234" s="7"/>
    </row>
    <row r="235" spans="9:16" x14ac:dyDescent="0.35">
      <c r="I235" s="7"/>
      <c r="P235" s="7"/>
    </row>
    <row r="236" spans="9:16" x14ac:dyDescent="0.35">
      <c r="I236" s="7"/>
      <c r="P236" s="7"/>
    </row>
    <row r="237" spans="9:16" x14ac:dyDescent="0.35">
      <c r="I237" s="7"/>
      <c r="P237" s="7"/>
    </row>
    <row r="238" spans="9:16" x14ac:dyDescent="0.35">
      <c r="I238" s="7"/>
      <c r="P238" s="7"/>
    </row>
    <row r="239" spans="9:16" x14ac:dyDescent="0.35">
      <c r="I239" s="7"/>
      <c r="P239" s="7"/>
    </row>
    <row r="240" spans="9:16" x14ac:dyDescent="0.35">
      <c r="I240" s="7"/>
      <c r="P240" s="7"/>
    </row>
    <row r="241" spans="9:16" x14ac:dyDescent="0.35">
      <c r="I241" s="7"/>
      <c r="P241" s="7"/>
    </row>
    <row r="242" spans="9:16" x14ac:dyDescent="0.35">
      <c r="I242" s="7"/>
      <c r="P242" s="7"/>
    </row>
    <row r="243" spans="9:16" x14ac:dyDescent="0.35">
      <c r="I243" s="7"/>
      <c r="P243" s="7"/>
    </row>
    <row r="244" spans="9:16" x14ac:dyDescent="0.35">
      <c r="I244" s="7"/>
      <c r="P244" s="7"/>
    </row>
    <row r="245" spans="9:16" x14ac:dyDescent="0.35">
      <c r="I245" s="7"/>
      <c r="P245" s="7"/>
    </row>
    <row r="246" spans="9:16" x14ac:dyDescent="0.35">
      <c r="I246" s="7"/>
      <c r="P246" s="7"/>
    </row>
    <row r="247" spans="9:16" x14ac:dyDescent="0.35">
      <c r="I247" s="7"/>
      <c r="P247" s="7"/>
    </row>
    <row r="248" spans="9:16" x14ac:dyDescent="0.35">
      <c r="I248" s="7"/>
      <c r="P248" s="7"/>
    </row>
    <row r="249" spans="9:16" x14ac:dyDescent="0.35">
      <c r="I249" s="7"/>
      <c r="P249" s="7"/>
    </row>
    <row r="250" spans="9:16" x14ac:dyDescent="0.35">
      <c r="I250" s="7"/>
      <c r="P250" s="7"/>
    </row>
    <row r="251" spans="9:16" x14ac:dyDescent="0.35">
      <c r="I251" s="7"/>
      <c r="P251" s="7"/>
    </row>
    <row r="252" spans="9:16" x14ac:dyDescent="0.35">
      <c r="I252" s="7"/>
      <c r="P252" s="7"/>
    </row>
    <row r="253" spans="9:16" x14ac:dyDescent="0.35">
      <c r="I253" s="7"/>
      <c r="P253" s="7"/>
    </row>
    <row r="254" spans="9:16" x14ac:dyDescent="0.35">
      <c r="I254" s="7"/>
      <c r="P254" s="7"/>
    </row>
    <row r="255" spans="9:16" x14ac:dyDescent="0.35">
      <c r="I255" s="7"/>
      <c r="P255" s="7"/>
    </row>
    <row r="256" spans="9:16" x14ac:dyDescent="0.35">
      <c r="I256" s="7"/>
      <c r="P256" s="7"/>
    </row>
    <row r="257" spans="9:16" x14ac:dyDescent="0.35">
      <c r="I257" s="7"/>
      <c r="P257" s="7"/>
    </row>
    <row r="258" spans="9:16" x14ac:dyDescent="0.35">
      <c r="I258" s="7"/>
      <c r="P258" s="7"/>
    </row>
    <row r="259" spans="9:16" x14ac:dyDescent="0.35">
      <c r="I259" s="7"/>
      <c r="P259" s="7"/>
    </row>
    <row r="260" spans="9:16" x14ac:dyDescent="0.35">
      <c r="I260" s="7"/>
      <c r="P260" s="7"/>
    </row>
    <row r="261" spans="9:16" x14ac:dyDescent="0.35">
      <c r="I261" s="7"/>
      <c r="P261" s="7"/>
    </row>
    <row r="262" spans="9:16" x14ac:dyDescent="0.35">
      <c r="I262" s="7"/>
      <c r="P262" s="7"/>
    </row>
    <row r="263" spans="9:16" x14ac:dyDescent="0.35">
      <c r="I263" s="7"/>
      <c r="P263" s="7"/>
    </row>
    <row r="264" spans="9:16" x14ac:dyDescent="0.35">
      <c r="I264" s="7"/>
      <c r="P264" s="7"/>
    </row>
    <row r="265" spans="9:16" x14ac:dyDescent="0.35">
      <c r="I265" s="7"/>
      <c r="P265" s="7"/>
    </row>
    <row r="266" spans="9:16" x14ac:dyDescent="0.35">
      <c r="I266" s="7"/>
      <c r="P266" s="7"/>
    </row>
    <row r="267" spans="9:16" x14ac:dyDescent="0.35">
      <c r="I267" s="7"/>
      <c r="P267" s="7"/>
    </row>
    <row r="268" spans="9:16" x14ac:dyDescent="0.35">
      <c r="I268" s="7"/>
      <c r="P268" s="7"/>
    </row>
    <row r="269" spans="9:16" x14ac:dyDescent="0.35">
      <c r="I269" s="7"/>
      <c r="P269" s="7"/>
    </row>
    <row r="270" spans="9:16" x14ac:dyDescent="0.35">
      <c r="I270" s="7"/>
      <c r="P270" s="7"/>
    </row>
    <row r="271" spans="9:16" x14ac:dyDescent="0.35">
      <c r="I271" s="7"/>
      <c r="P271" s="7"/>
    </row>
    <row r="272" spans="9:16" x14ac:dyDescent="0.35">
      <c r="I272" s="7"/>
      <c r="P272" s="7"/>
    </row>
    <row r="273" spans="9:16" x14ac:dyDescent="0.35">
      <c r="I273" s="7"/>
      <c r="P273" s="7"/>
    </row>
    <row r="274" spans="9:16" x14ac:dyDescent="0.35">
      <c r="I274" s="7"/>
      <c r="P274" s="7"/>
    </row>
    <row r="275" spans="9:16" x14ac:dyDescent="0.35">
      <c r="I275" s="7"/>
      <c r="P275" s="7"/>
    </row>
    <row r="276" spans="9:16" x14ac:dyDescent="0.35">
      <c r="I276" s="7"/>
      <c r="P276" s="7"/>
    </row>
    <row r="277" spans="9:16" x14ac:dyDescent="0.35">
      <c r="I277" s="7"/>
      <c r="P277" s="7"/>
    </row>
    <row r="278" spans="9:16" x14ac:dyDescent="0.35">
      <c r="I278" s="7"/>
      <c r="P278" s="7"/>
    </row>
    <row r="279" spans="9:16" x14ac:dyDescent="0.35">
      <c r="I279" s="7"/>
      <c r="P279" s="7"/>
    </row>
    <row r="280" spans="9:16" x14ac:dyDescent="0.35">
      <c r="I280" s="7"/>
      <c r="P280" s="7"/>
    </row>
    <row r="281" spans="9:16" x14ac:dyDescent="0.35">
      <c r="I281" s="7"/>
      <c r="P281" s="7"/>
    </row>
    <row r="282" spans="9:16" x14ac:dyDescent="0.35">
      <c r="I282" s="7"/>
      <c r="P282" s="7"/>
    </row>
    <row r="283" spans="9:16" x14ac:dyDescent="0.35">
      <c r="I283" s="7"/>
      <c r="P283" s="7"/>
    </row>
    <row r="284" spans="9:16" x14ac:dyDescent="0.35">
      <c r="I284" s="7"/>
      <c r="P284" s="7"/>
    </row>
    <row r="285" spans="9:16" x14ac:dyDescent="0.35">
      <c r="I285" s="7"/>
      <c r="P285" s="7"/>
    </row>
    <row r="286" spans="9:16" x14ac:dyDescent="0.35">
      <c r="I286" s="7"/>
      <c r="P286" s="7"/>
    </row>
    <row r="287" spans="9:16" x14ac:dyDescent="0.35">
      <c r="I287" s="7"/>
      <c r="P287" s="7"/>
    </row>
    <row r="288" spans="9:16" x14ac:dyDescent="0.35">
      <c r="I288" s="7"/>
      <c r="P288" s="7"/>
    </row>
    <row r="289" spans="9:16" x14ac:dyDescent="0.35">
      <c r="I289" s="7"/>
      <c r="P289" s="7"/>
    </row>
    <row r="290" spans="9:16" x14ac:dyDescent="0.35">
      <c r="I290" s="7"/>
      <c r="P290" s="7"/>
    </row>
    <row r="291" spans="9:16" x14ac:dyDescent="0.35">
      <c r="I291" s="7"/>
      <c r="P291" s="7"/>
    </row>
    <row r="292" spans="9:16" x14ac:dyDescent="0.35">
      <c r="I292" s="7"/>
      <c r="P292" s="7"/>
    </row>
    <row r="293" spans="9:16" x14ac:dyDescent="0.35">
      <c r="I293" s="7"/>
      <c r="P293" s="7"/>
    </row>
    <row r="294" spans="9:16" x14ac:dyDescent="0.35">
      <c r="I294" s="7"/>
      <c r="P294" s="7"/>
    </row>
    <row r="295" spans="9:16" x14ac:dyDescent="0.35">
      <c r="I295" s="7"/>
      <c r="P295" s="7"/>
    </row>
    <row r="296" spans="9:16" x14ac:dyDescent="0.35">
      <c r="I296" s="7"/>
      <c r="P296" s="7"/>
    </row>
    <row r="297" spans="9:16" x14ac:dyDescent="0.35">
      <c r="I297" s="7"/>
      <c r="P297" s="7"/>
    </row>
    <row r="298" spans="9:16" x14ac:dyDescent="0.35">
      <c r="I298" s="7"/>
      <c r="P298" s="7"/>
    </row>
    <row r="299" spans="9:16" x14ac:dyDescent="0.35">
      <c r="I299" s="7"/>
      <c r="P299" s="7"/>
    </row>
    <row r="300" spans="9:16" x14ac:dyDescent="0.35">
      <c r="I300" s="7"/>
      <c r="P300" s="7"/>
    </row>
    <row r="301" spans="9:16" x14ac:dyDescent="0.35">
      <c r="I301" s="7"/>
      <c r="P301" s="7"/>
    </row>
    <row r="302" spans="9:16" x14ac:dyDescent="0.35">
      <c r="I302" s="7"/>
      <c r="P302" s="7"/>
    </row>
    <row r="303" spans="9:16" x14ac:dyDescent="0.35">
      <c r="I303" s="7"/>
      <c r="P303" s="7"/>
    </row>
    <row r="304" spans="9:16" x14ac:dyDescent="0.35">
      <c r="I304" s="7"/>
      <c r="P304" s="7"/>
    </row>
    <row r="305" spans="9:16" x14ac:dyDescent="0.35">
      <c r="I305" s="7"/>
      <c r="P305" s="7"/>
    </row>
    <row r="306" spans="9:16" x14ac:dyDescent="0.35">
      <c r="I306" s="7"/>
      <c r="P306" s="7"/>
    </row>
    <row r="307" spans="9:16" x14ac:dyDescent="0.35">
      <c r="I307" s="7"/>
      <c r="P307" s="7"/>
    </row>
    <row r="308" spans="9:16" x14ac:dyDescent="0.35">
      <c r="I308" s="7"/>
      <c r="P308" s="7"/>
    </row>
    <row r="309" spans="9:16" x14ac:dyDescent="0.35">
      <c r="I309" s="7"/>
      <c r="P309" s="7"/>
    </row>
    <row r="310" spans="9:16" x14ac:dyDescent="0.35">
      <c r="I310" s="7"/>
      <c r="P310" s="7"/>
    </row>
    <row r="311" spans="9:16" x14ac:dyDescent="0.35">
      <c r="I311" s="7"/>
      <c r="P311" s="7"/>
    </row>
    <row r="312" spans="9:16" x14ac:dyDescent="0.35">
      <c r="I312" s="7"/>
      <c r="P312" s="7"/>
    </row>
    <row r="313" spans="9:16" x14ac:dyDescent="0.35">
      <c r="I313" s="7"/>
      <c r="P313" s="7"/>
    </row>
    <row r="314" spans="9:16" x14ac:dyDescent="0.35">
      <c r="I314" s="7"/>
      <c r="P314" s="7"/>
    </row>
    <row r="315" spans="9:16" x14ac:dyDescent="0.35">
      <c r="I315" s="7"/>
      <c r="P315" s="7"/>
    </row>
    <row r="316" spans="9:16" x14ac:dyDescent="0.35">
      <c r="I316" s="7"/>
      <c r="P316" s="7"/>
    </row>
    <row r="317" spans="9:16" x14ac:dyDescent="0.35">
      <c r="I317" s="7"/>
      <c r="P317" s="7"/>
    </row>
    <row r="318" spans="9:16" x14ac:dyDescent="0.35">
      <c r="I318" s="7"/>
      <c r="P318" s="7"/>
    </row>
    <row r="319" spans="9:16" x14ac:dyDescent="0.35">
      <c r="I319" s="7"/>
      <c r="P319" s="7"/>
    </row>
    <row r="320" spans="9:16" x14ac:dyDescent="0.35">
      <c r="I320" s="7"/>
      <c r="P320" s="7"/>
    </row>
    <row r="321" spans="9:16" x14ac:dyDescent="0.35">
      <c r="I321" s="7"/>
      <c r="P321" s="7"/>
    </row>
    <row r="322" spans="9:16" x14ac:dyDescent="0.35">
      <c r="I322" s="7"/>
      <c r="P322" s="7"/>
    </row>
    <row r="323" spans="9:16" x14ac:dyDescent="0.35">
      <c r="I323" s="7"/>
      <c r="P323" s="7"/>
    </row>
    <row r="324" spans="9:16" x14ac:dyDescent="0.35">
      <c r="I324" s="7"/>
      <c r="P324" s="7"/>
    </row>
    <row r="325" spans="9:16" x14ac:dyDescent="0.35">
      <c r="I325" s="7"/>
      <c r="P325" s="7"/>
    </row>
    <row r="326" spans="9:16" x14ac:dyDescent="0.35">
      <c r="I326" s="7"/>
      <c r="P326" s="7"/>
    </row>
    <row r="327" spans="9:16" x14ac:dyDescent="0.35">
      <c r="I327" s="7"/>
      <c r="P327" s="7"/>
    </row>
    <row r="328" spans="9:16" x14ac:dyDescent="0.35">
      <c r="I328" s="7"/>
      <c r="P328" s="7"/>
    </row>
    <row r="329" spans="9:16" x14ac:dyDescent="0.35">
      <c r="I329" s="7"/>
      <c r="P329" s="7"/>
    </row>
    <row r="330" spans="9:16" x14ac:dyDescent="0.35">
      <c r="I330" s="7"/>
      <c r="P330" s="7"/>
    </row>
    <row r="331" spans="9:16" x14ac:dyDescent="0.35">
      <c r="I331" s="7"/>
      <c r="P331" s="7"/>
    </row>
    <row r="332" spans="9:16" x14ac:dyDescent="0.35">
      <c r="I332" s="7"/>
      <c r="P332" s="7"/>
    </row>
    <row r="333" spans="9:16" x14ac:dyDescent="0.35">
      <c r="I333" s="7"/>
      <c r="P333" s="7"/>
    </row>
    <row r="334" spans="9:16" x14ac:dyDescent="0.35">
      <c r="I334" s="7"/>
      <c r="P334" s="7"/>
    </row>
    <row r="335" spans="9:16" x14ac:dyDescent="0.35">
      <c r="I335" s="7"/>
      <c r="P335" s="7"/>
    </row>
    <row r="336" spans="9:16" x14ac:dyDescent="0.35">
      <c r="I336" s="7"/>
      <c r="P336" s="7"/>
    </row>
    <row r="337" spans="9:16" x14ac:dyDescent="0.35">
      <c r="I337" s="7"/>
      <c r="P337" s="7"/>
    </row>
    <row r="338" spans="9:16" x14ac:dyDescent="0.35">
      <c r="I338" s="7"/>
      <c r="P338" s="7"/>
    </row>
    <row r="339" spans="9:16" x14ac:dyDescent="0.35">
      <c r="I339" s="7"/>
      <c r="P339" s="7"/>
    </row>
    <row r="340" spans="9:16" x14ac:dyDescent="0.35">
      <c r="I340" s="7"/>
      <c r="P340" s="7"/>
    </row>
    <row r="341" spans="9:16" x14ac:dyDescent="0.35">
      <c r="I341" s="7"/>
      <c r="P341" s="7"/>
    </row>
    <row r="342" spans="9:16" x14ac:dyDescent="0.35">
      <c r="I342" s="7"/>
      <c r="P342" s="7"/>
    </row>
    <row r="343" spans="9:16" x14ac:dyDescent="0.35">
      <c r="I343" s="7"/>
      <c r="P343" s="7"/>
    </row>
    <row r="344" spans="9:16" x14ac:dyDescent="0.35">
      <c r="I344" s="7"/>
      <c r="P344" s="7"/>
    </row>
    <row r="345" spans="9:16" x14ac:dyDescent="0.35">
      <c r="I345" s="7"/>
      <c r="P345" s="7"/>
    </row>
    <row r="346" spans="9:16" x14ac:dyDescent="0.35">
      <c r="I346" s="7"/>
      <c r="P346" s="7"/>
    </row>
    <row r="347" spans="9:16" x14ac:dyDescent="0.35">
      <c r="I347" s="7"/>
      <c r="P347" s="7"/>
    </row>
    <row r="348" spans="9:16" x14ac:dyDescent="0.35">
      <c r="I348" s="7"/>
      <c r="P348" s="7"/>
    </row>
    <row r="349" spans="9:16" x14ac:dyDescent="0.35">
      <c r="I349" s="7"/>
      <c r="P349" s="7"/>
    </row>
    <row r="350" spans="9:16" x14ac:dyDescent="0.35">
      <c r="I350" s="7"/>
      <c r="P350" s="7"/>
    </row>
    <row r="351" spans="9:16" x14ac:dyDescent="0.35">
      <c r="I351" s="7"/>
      <c r="P351" s="7"/>
    </row>
    <row r="352" spans="9:16" x14ac:dyDescent="0.35">
      <c r="I352" s="7"/>
      <c r="P352" s="7"/>
    </row>
    <row r="353" spans="9:16" x14ac:dyDescent="0.35">
      <c r="I353" s="7"/>
      <c r="P353" s="7"/>
    </row>
    <row r="354" spans="9:16" x14ac:dyDescent="0.35">
      <c r="I354" s="7"/>
      <c r="P354" s="7"/>
    </row>
    <row r="355" spans="9:16" x14ac:dyDescent="0.35">
      <c r="I355" s="7"/>
      <c r="P355" s="7"/>
    </row>
    <row r="356" spans="9:16" x14ac:dyDescent="0.35">
      <c r="I356" s="7"/>
      <c r="P356" s="7"/>
    </row>
    <row r="357" spans="9:16" x14ac:dyDescent="0.35">
      <c r="I357" s="7"/>
      <c r="P357" s="7"/>
    </row>
    <row r="358" spans="9:16" x14ac:dyDescent="0.35">
      <c r="I358" s="7"/>
      <c r="P358" s="7"/>
    </row>
    <row r="359" spans="9:16" x14ac:dyDescent="0.35">
      <c r="I359" s="7"/>
      <c r="P359" s="7"/>
    </row>
    <row r="360" spans="9:16" x14ac:dyDescent="0.35">
      <c r="I360" s="7"/>
      <c r="P360" s="7"/>
    </row>
    <row r="361" spans="9:16" x14ac:dyDescent="0.35">
      <c r="I361" s="7"/>
      <c r="P361" s="7"/>
    </row>
    <row r="362" spans="9:16" x14ac:dyDescent="0.35">
      <c r="I362" s="7"/>
      <c r="P362" s="7"/>
    </row>
    <row r="363" spans="9:16" x14ac:dyDescent="0.35">
      <c r="I363" s="7"/>
      <c r="P363" s="7"/>
    </row>
    <row r="364" spans="9:16" x14ac:dyDescent="0.35">
      <c r="I364" s="7"/>
      <c r="P364" s="7"/>
    </row>
    <row r="365" spans="9:16" x14ac:dyDescent="0.35">
      <c r="I365" s="7"/>
      <c r="P365" s="7"/>
    </row>
    <row r="366" spans="9:16" x14ac:dyDescent="0.35">
      <c r="I366" s="7"/>
      <c r="P366" s="7"/>
    </row>
    <row r="367" spans="9:16" x14ac:dyDescent="0.35">
      <c r="I367" s="7"/>
      <c r="P367" s="7"/>
    </row>
    <row r="368" spans="9:16" x14ac:dyDescent="0.35">
      <c r="I368" s="7"/>
      <c r="P368" s="7"/>
    </row>
    <row r="369" spans="9:16" x14ac:dyDescent="0.35">
      <c r="I369" s="7"/>
      <c r="P369" s="7"/>
    </row>
    <row r="370" spans="9:16" x14ac:dyDescent="0.35">
      <c r="I370" s="7"/>
      <c r="P370" s="7"/>
    </row>
    <row r="371" spans="9:16" x14ac:dyDescent="0.35">
      <c r="I371" s="7"/>
      <c r="P371" s="7"/>
    </row>
    <row r="372" spans="9:16" x14ac:dyDescent="0.35">
      <c r="I372" s="7"/>
      <c r="P372" s="7"/>
    </row>
    <row r="373" spans="9:16" x14ac:dyDescent="0.35">
      <c r="I373" s="7"/>
      <c r="P373" s="7"/>
    </row>
    <row r="374" spans="9:16" x14ac:dyDescent="0.35">
      <c r="I374" s="7"/>
      <c r="P374" s="7"/>
    </row>
    <row r="375" spans="9:16" x14ac:dyDescent="0.35">
      <c r="I375" s="7"/>
      <c r="P375" s="7"/>
    </row>
    <row r="376" spans="9:16" x14ac:dyDescent="0.35">
      <c r="I376" s="7"/>
      <c r="P376" s="7"/>
    </row>
    <row r="377" spans="9:16" x14ac:dyDescent="0.35">
      <c r="I377" s="7"/>
      <c r="P377" s="7"/>
    </row>
    <row r="378" spans="9:16" x14ac:dyDescent="0.35">
      <c r="I378" s="7"/>
      <c r="P378" s="7"/>
    </row>
    <row r="379" spans="9:16" x14ac:dyDescent="0.35">
      <c r="I379" s="7"/>
      <c r="P379" s="7"/>
    </row>
    <row r="380" spans="9:16" x14ac:dyDescent="0.35">
      <c r="I380" s="7"/>
      <c r="P380" s="7"/>
    </row>
    <row r="381" spans="9:16" x14ac:dyDescent="0.35">
      <c r="I381" s="7"/>
      <c r="P381" s="7"/>
    </row>
    <row r="382" spans="9:16" x14ac:dyDescent="0.35">
      <c r="I382" s="7"/>
      <c r="P382" s="7"/>
    </row>
    <row r="383" spans="9:16" x14ac:dyDescent="0.35">
      <c r="I383" s="7"/>
      <c r="P383" s="7"/>
    </row>
    <row r="384" spans="9:16" x14ac:dyDescent="0.35">
      <c r="I384" s="7"/>
      <c r="P384" s="7"/>
    </row>
    <row r="385" spans="9:16" x14ac:dyDescent="0.35">
      <c r="I385" s="7"/>
      <c r="P385" s="7"/>
    </row>
    <row r="386" spans="9:16" x14ac:dyDescent="0.35">
      <c r="I386" s="7"/>
      <c r="P386" s="7"/>
    </row>
    <row r="387" spans="9:16" x14ac:dyDescent="0.35">
      <c r="I387" s="7"/>
      <c r="P387" s="7"/>
    </row>
    <row r="388" spans="9:16" x14ac:dyDescent="0.35">
      <c r="I388" s="7"/>
      <c r="P388" s="7"/>
    </row>
    <row r="389" spans="9:16" x14ac:dyDescent="0.35">
      <c r="I389" s="7"/>
      <c r="P389" s="7"/>
    </row>
    <row r="390" spans="9:16" x14ac:dyDescent="0.35">
      <c r="I390" s="7"/>
      <c r="P390" s="7"/>
    </row>
    <row r="391" spans="9:16" x14ac:dyDescent="0.35">
      <c r="I391" s="7"/>
      <c r="P391" s="7"/>
    </row>
    <row r="392" spans="9:16" x14ac:dyDescent="0.35">
      <c r="I392" s="7"/>
      <c r="P392" s="7"/>
    </row>
    <row r="393" spans="9:16" x14ac:dyDescent="0.35">
      <c r="I393" s="7"/>
      <c r="P393" s="7"/>
    </row>
    <row r="394" spans="9:16" x14ac:dyDescent="0.35">
      <c r="I394" s="7"/>
      <c r="P394" s="7"/>
    </row>
    <row r="395" spans="9:16" x14ac:dyDescent="0.35">
      <c r="I395" s="7"/>
      <c r="P395" s="7"/>
    </row>
    <row r="396" spans="9:16" x14ac:dyDescent="0.35">
      <c r="I396" s="7"/>
      <c r="P396" s="7"/>
    </row>
    <row r="397" spans="9:16" x14ac:dyDescent="0.35">
      <c r="I397" s="7"/>
      <c r="P397" s="7"/>
    </row>
    <row r="398" spans="9:16" x14ac:dyDescent="0.35">
      <c r="I398" s="7"/>
      <c r="P398" s="7"/>
    </row>
    <row r="399" spans="9:16" x14ac:dyDescent="0.35">
      <c r="I399" s="7"/>
      <c r="P399" s="7"/>
    </row>
    <row r="400" spans="9:16" x14ac:dyDescent="0.35">
      <c r="I400" s="7"/>
      <c r="P400" s="7"/>
    </row>
    <row r="401" spans="9:16" x14ac:dyDescent="0.35">
      <c r="I401" s="7"/>
      <c r="P401" s="7"/>
    </row>
    <row r="402" spans="9:16" x14ac:dyDescent="0.35">
      <c r="I402" s="7"/>
      <c r="P402" s="7"/>
    </row>
    <row r="403" spans="9:16" x14ac:dyDescent="0.35">
      <c r="I403" s="7"/>
      <c r="P403" s="7"/>
    </row>
    <row r="404" spans="9:16" x14ac:dyDescent="0.35">
      <c r="I404" s="7"/>
      <c r="P404" s="7"/>
    </row>
    <row r="405" spans="9:16" x14ac:dyDescent="0.35">
      <c r="I405" s="7"/>
      <c r="P405" s="7"/>
    </row>
    <row r="406" spans="9:16" x14ac:dyDescent="0.35">
      <c r="I406" s="7"/>
      <c r="P406" s="7"/>
    </row>
    <row r="407" spans="9:16" x14ac:dyDescent="0.35">
      <c r="I407" s="7"/>
      <c r="P407" s="7"/>
    </row>
    <row r="408" spans="9:16" x14ac:dyDescent="0.35">
      <c r="I408" s="7"/>
      <c r="P408" s="7"/>
    </row>
    <row r="409" spans="9:16" x14ac:dyDescent="0.35">
      <c r="I409" s="7"/>
      <c r="P409" s="7"/>
    </row>
    <row r="410" spans="9:16" x14ac:dyDescent="0.35">
      <c r="I410" s="7"/>
      <c r="P410" s="7"/>
    </row>
    <row r="411" spans="9:16" x14ac:dyDescent="0.35">
      <c r="I411" s="7"/>
      <c r="P411" s="7"/>
    </row>
    <row r="412" spans="9:16" x14ac:dyDescent="0.35">
      <c r="I412" s="7"/>
      <c r="P412" s="7"/>
    </row>
    <row r="413" spans="9:16" x14ac:dyDescent="0.35">
      <c r="I413" s="7"/>
      <c r="P413" s="7"/>
    </row>
    <row r="414" spans="9:16" x14ac:dyDescent="0.35">
      <c r="I414" s="7"/>
      <c r="P414" s="7"/>
    </row>
    <row r="415" spans="9:16" x14ac:dyDescent="0.35">
      <c r="I415" s="7"/>
      <c r="P415" s="7"/>
    </row>
    <row r="416" spans="9:16" x14ac:dyDescent="0.35">
      <c r="I416" s="7"/>
      <c r="P416" s="7"/>
    </row>
    <row r="417" spans="9:16" x14ac:dyDescent="0.35">
      <c r="I417" s="7"/>
      <c r="P417" s="7"/>
    </row>
    <row r="418" spans="9:16" x14ac:dyDescent="0.35">
      <c r="I418" s="7"/>
      <c r="P418" s="7"/>
    </row>
    <row r="419" spans="9:16" x14ac:dyDescent="0.35">
      <c r="I419" s="7"/>
      <c r="P419" s="7"/>
    </row>
    <row r="420" spans="9:16" x14ac:dyDescent="0.35">
      <c r="I420" s="7"/>
      <c r="P420" s="7"/>
    </row>
    <row r="421" spans="9:16" x14ac:dyDescent="0.35">
      <c r="I421" s="7"/>
      <c r="P421" s="7"/>
    </row>
    <row r="422" spans="9:16" x14ac:dyDescent="0.35">
      <c r="I422" s="7"/>
      <c r="P422" s="7"/>
    </row>
    <row r="423" spans="9:16" x14ac:dyDescent="0.35">
      <c r="I423" s="7"/>
      <c r="P423" s="7"/>
    </row>
    <row r="424" spans="9:16" x14ac:dyDescent="0.35">
      <c r="I424" s="7"/>
      <c r="P424" s="7"/>
    </row>
    <row r="425" spans="9:16" x14ac:dyDescent="0.35">
      <c r="I425" s="7"/>
      <c r="P425" s="7"/>
    </row>
    <row r="426" spans="9:16" x14ac:dyDescent="0.35">
      <c r="I426" s="7"/>
      <c r="P426" s="7"/>
    </row>
    <row r="427" spans="9:16" x14ac:dyDescent="0.35">
      <c r="I427" s="7"/>
      <c r="P427" s="7"/>
    </row>
    <row r="428" spans="9:16" x14ac:dyDescent="0.35">
      <c r="I428" s="7"/>
      <c r="P428" s="7"/>
    </row>
    <row r="429" spans="9:16" x14ac:dyDescent="0.35">
      <c r="I429" s="7"/>
      <c r="P429" s="7"/>
    </row>
    <row r="430" spans="9:16" x14ac:dyDescent="0.35">
      <c r="I430" s="7"/>
      <c r="P430" s="7"/>
    </row>
    <row r="431" spans="9:16" x14ac:dyDescent="0.35">
      <c r="I431" s="7"/>
      <c r="P431" s="7"/>
    </row>
    <row r="432" spans="9:16" x14ac:dyDescent="0.35">
      <c r="I432" s="7"/>
      <c r="P432" s="7"/>
    </row>
    <row r="433" spans="9:16" x14ac:dyDescent="0.35">
      <c r="I433" s="7"/>
      <c r="P433" s="7"/>
    </row>
    <row r="434" spans="9:16" x14ac:dyDescent="0.35">
      <c r="I434" s="7"/>
      <c r="P434" s="7"/>
    </row>
    <row r="435" spans="9:16" x14ac:dyDescent="0.35">
      <c r="I435" s="7"/>
      <c r="P435" s="7"/>
    </row>
    <row r="436" spans="9:16" x14ac:dyDescent="0.35">
      <c r="I436" s="7"/>
      <c r="P436" s="7"/>
    </row>
    <row r="437" spans="9:16" x14ac:dyDescent="0.35">
      <c r="I437" s="7"/>
      <c r="P437" s="7"/>
    </row>
    <row r="438" spans="9:16" x14ac:dyDescent="0.35">
      <c r="I438" s="7"/>
      <c r="P438" s="7"/>
    </row>
    <row r="439" spans="9:16" x14ac:dyDescent="0.35">
      <c r="I439" s="7"/>
      <c r="P439" s="7"/>
    </row>
    <row r="440" spans="9:16" x14ac:dyDescent="0.35">
      <c r="I440" s="7"/>
      <c r="P440" s="7"/>
    </row>
    <row r="441" spans="9:16" x14ac:dyDescent="0.35">
      <c r="I441" s="7"/>
      <c r="P441" s="7"/>
    </row>
    <row r="442" spans="9:16" x14ac:dyDescent="0.35">
      <c r="I442" s="7"/>
      <c r="P442" s="7"/>
    </row>
    <row r="443" spans="9:16" x14ac:dyDescent="0.35">
      <c r="I443" s="7"/>
      <c r="P443" s="7"/>
    </row>
    <row r="444" spans="9:16" x14ac:dyDescent="0.35">
      <c r="I444" s="7"/>
      <c r="P444" s="7"/>
    </row>
    <row r="445" spans="9:16" x14ac:dyDescent="0.35">
      <c r="I445" s="7"/>
      <c r="P445" s="7"/>
    </row>
    <row r="446" spans="9:16" x14ac:dyDescent="0.35">
      <c r="I446" s="7"/>
      <c r="P446" s="7"/>
    </row>
    <row r="447" spans="9:16" x14ac:dyDescent="0.35">
      <c r="I447" s="7"/>
      <c r="P447" s="7"/>
    </row>
    <row r="448" spans="9:16" x14ac:dyDescent="0.35">
      <c r="I448" s="7"/>
      <c r="P448" s="7"/>
    </row>
    <row r="449" spans="9:16" x14ac:dyDescent="0.35">
      <c r="I449" s="7"/>
      <c r="P449" s="7"/>
    </row>
    <row r="450" spans="9:16" x14ac:dyDescent="0.35">
      <c r="I450" s="7"/>
      <c r="P450" s="7"/>
    </row>
    <row r="451" spans="9:16" x14ac:dyDescent="0.35">
      <c r="I451" s="7"/>
      <c r="P451" s="7"/>
    </row>
    <row r="452" spans="9:16" x14ac:dyDescent="0.35">
      <c r="I452" s="7"/>
      <c r="P452" s="7"/>
    </row>
    <row r="453" spans="9:16" x14ac:dyDescent="0.35">
      <c r="I453" s="7"/>
      <c r="P453" s="7"/>
    </row>
    <row r="454" spans="9:16" x14ac:dyDescent="0.35">
      <c r="I454" s="7"/>
      <c r="P454" s="7"/>
    </row>
    <row r="455" spans="9:16" x14ac:dyDescent="0.35">
      <c r="I455" s="7"/>
      <c r="P455" s="7"/>
    </row>
    <row r="456" spans="9:16" x14ac:dyDescent="0.35">
      <c r="I456" s="7"/>
      <c r="P456" s="7"/>
    </row>
    <row r="457" spans="9:16" x14ac:dyDescent="0.35">
      <c r="I457" s="7"/>
      <c r="P457" s="7"/>
    </row>
    <row r="458" spans="9:16" x14ac:dyDescent="0.35">
      <c r="I458" s="7"/>
      <c r="P458" s="7"/>
    </row>
    <row r="459" spans="9:16" x14ac:dyDescent="0.35">
      <c r="I459" s="7"/>
      <c r="P459" s="7"/>
    </row>
    <row r="460" spans="9:16" x14ac:dyDescent="0.35">
      <c r="I460" s="7"/>
      <c r="P460" s="7"/>
    </row>
    <row r="461" spans="9:16" x14ac:dyDescent="0.35">
      <c r="I461" s="7"/>
      <c r="P461" s="7"/>
    </row>
    <row r="462" spans="9:16" x14ac:dyDescent="0.35">
      <c r="I462" s="7"/>
      <c r="P462" s="7"/>
    </row>
    <row r="463" spans="9:16" x14ac:dyDescent="0.35">
      <c r="I463" s="7"/>
      <c r="P463" s="7"/>
    </row>
    <row r="464" spans="9:16" x14ac:dyDescent="0.35">
      <c r="I464" s="7"/>
      <c r="P464" s="7"/>
    </row>
    <row r="465" spans="9:16" x14ac:dyDescent="0.35">
      <c r="I465" s="7"/>
      <c r="P465" s="7"/>
    </row>
    <row r="466" spans="9:16" x14ac:dyDescent="0.35">
      <c r="I466" s="7"/>
      <c r="P466" s="7"/>
    </row>
    <row r="467" spans="9:16" x14ac:dyDescent="0.35">
      <c r="I467" s="7"/>
      <c r="P467" s="7"/>
    </row>
    <row r="468" spans="9:16" x14ac:dyDescent="0.35">
      <c r="I468" s="7"/>
      <c r="P468" s="7"/>
    </row>
    <row r="469" spans="9:16" x14ac:dyDescent="0.35">
      <c r="I469" s="7"/>
      <c r="P469" s="7"/>
    </row>
    <row r="470" spans="9:16" x14ac:dyDescent="0.35">
      <c r="I470" s="7"/>
      <c r="P470" s="7"/>
    </row>
    <row r="471" spans="9:16" x14ac:dyDescent="0.35">
      <c r="I471" s="7"/>
      <c r="P471" s="7"/>
    </row>
    <row r="472" spans="9:16" x14ac:dyDescent="0.35">
      <c r="I472" s="7"/>
      <c r="P472" s="7"/>
    </row>
    <row r="473" spans="9:16" x14ac:dyDescent="0.35">
      <c r="I473" s="7"/>
      <c r="P473" s="7"/>
    </row>
    <row r="474" spans="9:16" x14ac:dyDescent="0.35">
      <c r="I474" s="7"/>
      <c r="P474" s="7"/>
    </row>
    <row r="475" spans="9:16" x14ac:dyDescent="0.35">
      <c r="I475" s="7"/>
      <c r="P475" s="7"/>
    </row>
    <row r="476" spans="9:16" x14ac:dyDescent="0.35">
      <c r="I476" s="7"/>
      <c r="P476" s="7"/>
    </row>
    <row r="477" spans="9:16" x14ac:dyDescent="0.35">
      <c r="I477" s="7"/>
      <c r="P477" s="7"/>
    </row>
    <row r="478" spans="9:16" x14ac:dyDescent="0.35">
      <c r="I478" s="7"/>
      <c r="P478" s="7"/>
    </row>
    <row r="479" spans="9:16" x14ac:dyDescent="0.35">
      <c r="I479" s="7"/>
      <c r="P479" s="7"/>
    </row>
    <row r="480" spans="9:16" x14ac:dyDescent="0.35">
      <c r="I480" s="7"/>
      <c r="P480" s="7"/>
    </row>
    <row r="481" spans="9:16" x14ac:dyDescent="0.35">
      <c r="I481" s="7"/>
      <c r="P481" s="7"/>
    </row>
    <row r="482" spans="9:16" x14ac:dyDescent="0.35">
      <c r="I482" s="7"/>
      <c r="P482" s="7"/>
    </row>
    <row r="483" spans="9:16" x14ac:dyDescent="0.35">
      <c r="I483" s="7"/>
      <c r="P483" s="7"/>
    </row>
    <row r="484" spans="9:16" x14ac:dyDescent="0.35">
      <c r="I484" s="7"/>
      <c r="P484" s="7"/>
    </row>
    <row r="485" spans="9:16" x14ac:dyDescent="0.35">
      <c r="I485" s="7"/>
      <c r="P485" s="7"/>
    </row>
    <row r="486" spans="9:16" x14ac:dyDescent="0.35">
      <c r="I486" s="7"/>
      <c r="P486" s="7"/>
    </row>
    <row r="487" spans="9:16" x14ac:dyDescent="0.35">
      <c r="I487" s="7"/>
      <c r="P487" s="7"/>
    </row>
    <row r="488" spans="9:16" x14ac:dyDescent="0.35">
      <c r="I488" s="7"/>
      <c r="P488" s="7"/>
    </row>
    <row r="489" spans="9:16" x14ac:dyDescent="0.35">
      <c r="I489" s="7"/>
      <c r="P489" s="7"/>
    </row>
    <row r="490" spans="9:16" x14ac:dyDescent="0.35">
      <c r="I490" s="7"/>
      <c r="P490" s="7"/>
    </row>
    <row r="491" spans="9:16" x14ac:dyDescent="0.35">
      <c r="I491" s="7"/>
      <c r="P491" s="7"/>
    </row>
    <row r="492" spans="9:16" x14ac:dyDescent="0.35">
      <c r="I492" s="7"/>
      <c r="P492" s="7"/>
    </row>
    <row r="493" spans="9:16" x14ac:dyDescent="0.35">
      <c r="I493" s="7"/>
      <c r="P493" s="7"/>
    </row>
    <row r="494" spans="9:16" x14ac:dyDescent="0.35">
      <c r="I494" s="7"/>
      <c r="P494" s="7"/>
    </row>
    <row r="495" spans="9:16" x14ac:dyDescent="0.35">
      <c r="I495" s="7"/>
      <c r="P495" s="7"/>
    </row>
    <row r="496" spans="9:16" x14ac:dyDescent="0.35">
      <c r="I496" s="7"/>
      <c r="P496" s="7"/>
    </row>
    <row r="497" spans="9:16" x14ac:dyDescent="0.35">
      <c r="I497" s="7"/>
      <c r="P497" s="7"/>
    </row>
    <row r="498" spans="9:16" x14ac:dyDescent="0.35">
      <c r="I498" s="7"/>
      <c r="P498" s="7"/>
    </row>
    <row r="499" spans="9:16" x14ac:dyDescent="0.35">
      <c r="I499" s="7"/>
      <c r="P499" s="7"/>
    </row>
    <row r="500" spans="9:16" x14ac:dyDescent="0.35">
      <c r="I500" s="7"/>
      <c r="P500" s="7"/>
    </row>
    <row r="501" spans="9:16" x14ac:dyDescent="0.35">
      <c r="I501" s="7"/>
      <c r="P501" s="7"/>
    </row>
    <row r="502" spans="9:16" x14ac:dyDescent="0.35">
      <c r="I502" s="7"/>
      <c r="P502" s="7"/>
    </row>
    <row r="503" spans="9:16" x14ac:dyDescent="0.35">
      <c r="I503" s="7"/>
      <c r="P503" s="7"/>
    </row>
    <row r="504" spans="9:16" x14ac:dyDescent="0.35">
      <c r="I504" s="7"/>
      <c r="P504" s="7"/>
    </row>
    <row r="505" spans="9:16" x14ac:dyDescent="0.35">
      <c r="I505" s="7"/>
      <c r="P505" s="7"/>
    </row>
    <row r="506" spans="9:16" x14ac:dyDescent="0.35">
      <c r="I506" s="7"/>
      <c r="P506" s="7"/>
    </row>
    <row r="507" spans="9:16" x14ac:dyDescent="0.35">
      <c r="I507" s="7"/>
      <c r="P507" s="7"/>
    </row>
    <row r="508" spans="9:16" x14ac:dyDescent="0.35">
      <c r="I508" s="7"/>
      <c r="P508" s="7"/>
    </row>
    <row r="509" spans="9:16" x14ac:dyDescent="0.35">
      <c r="I509" s="7"/>
      <c r="P509" s="7"/>
    </row>
    <row r="510" spans="9:16" x14ac:dyDescent="0.35">
      <c r="I510" s="7"/>
      <c r="P510" s="7"/>
    </row>
    <row r="511" spans="9:16" x14ac:dyDescent="0.35">
      <c r="I511" s="7"/>
      <c r="P511" s="7"/>
    </row>
    <row r="512" spans="9:16" x14ac:dyDescent="0.35">
      <c r="I512" s="7"/>
      <c r="P512" s="7"/>
    </row>
    <row r="513" spans="9:16" x14ac:dyDescent="0.35">
      <c r="I513" s="7"/>
      <c r="P513" s="7"/>
    </row>
    <row r="514" spans="9:16" x14ac:dyDescent="0.35">
      <c r="I514" s="7"/>
      <c r="P514" s="7"/>
    </row>
    <row r="515" spans="9:16" x14ac:dyDescent="0.35">
      <c r="I515" s="7"/>
      <c r="P515" s="7"/>
    </row>
    <row r="516" spans="9:16" x14ac:dyDescent="0.35">
      <c r="I516" s="7"/>
      <c r="P516" s="7"/>
    </row>
    <row r="517" spans="9:16" x14ac:dyDescent="0.35">
      <c r="I517" s="7"/>
      <c r="P517" s="7"/>
    </row>
    <row r="518" spans="9:16" x14ac:dyDescent="0.35">
      <c r="I518" s="7"/>
      <c r="P518" s="7"/>
    </row>
    <row r="519" spans="9:16" x14ac:dyDescent="0.35">
      <c r="I519" s="7"/>
      <c r="P519" s="7"/>
    </row>
    <row r="520" spans="9:16" x14ac:dyDescent="0.35">
      <c r="I520" s="7"/>
      <c r="P520" s="7"/>
    </row>
    <row r="521" spans="9:16" x14ac:dyDescent="0.35">
      <c r="I521" s="7"/>
      <c r="P521" s="7"/>
    </row>
    <row r="522" spans="9:16" x14ac:dyDescent="0.35">
      <c r="I522" s="7"/>
      <c r="P522" s="7"/>
    </row>
    <row r="523" spans="9:16" x14ac:dyDescent="0.35">
      <c r="I523" s="7"/>
      <c r="P523" s="7"/>
    </row>
    <row r="524" spans="9:16" x14ac:dyDescent="0.35">
      <c r="I524" s="7"/>
      <c r="P524" s="7"/>
    </row>
    <row r="525" spans="9:16" x14ac:dyDescent="0.35">
      <c r="I525" s="7"/>
      <c r="P525" s="7"/>
    </row>
    <row r="526" spans="9:16" x14ac:dyDescent="0.35">
      <c r="I526" s="7"/>
      <c r="P526" s="7"/>
    </row>
    <row r="527" spans="9:16" x14ac:dyDescent="0.35">
      <c r="I527" s="7"/>
      <c r="P527" s="7"/>
    </row>
    <row r="528" spans="9:16" x14ac:dyDescent="0.35">
      <c r="I528" s="7"/>
      <c r="P528" s="7"/>
    </row>
    <row r="529" spans="9:16" x14ac:dyDescent="0.35">
      <c r="I529" s="7"/>
      <c r="P529" s="7"/>
    </row>
    <row r="530" spans="9:16" x14ac:dyDescent="0.35">
      <c r="I530" s="7"/>
      <c r="P530" s="7"/>
    </row>
    <row r="531" spans="9:16" x14ac:dyDescent="0.35">
      <c r="I531" s="7"/>
      <c r="P531" s="7"/>
    </row>
    <row r="532" spans="9:16" x14ac:dyDescent="0.35">
      <c r="I532" s="7"/>
      <c r="P532" s="7"/>
    </row>
    <row r="533" spans="9:16" x14ac:dyDescent="0.35">
      <c r="I533" s="7"/>
      <c r="P533" s="7"/>
    </row>
    <row r="534" spans="9:16" x14ac:dyDescent="0.35">
      <c r="I534" s="7"/>
      <c r="P534" s="7"/>
    </row>
    <row r="535" spans="9:16" x14ac:dyDescent="0.35">
      <c r="I535" s="7"/>
      <c r="P535" s="7"/>
    </row>
    <row r="536" spans="9:16" x14ac:dyDescent="0.35">
      <c r="I536" s="7"/>
      <c r="P536" s="7"/>
    </row>
    <row r="537" spans="9:16" x14ac:dyDescent="0.35">
      <c r="I537" s="7"/>
      <c r="P537" s="7"/>
    </row>
    <row r="538" spans="9:16" x14ac:dyDescent="0.35">
      <c r="I538" s="7"/>
      <c r="P538" s="7"/>
    </row>
    <row r="539" spans="9:16" x14ac:dyDescent="0.35">
      <c r="I539" s="7"/>
      <c r="P539" s="7"/>
    </row>
    <row r="540" spans="9:16" x14ac:dyDescent="0.35">
      <c r="I540" s="7"/>
      <c r="P540" s="7"/>
    </row>
    <row r="541" spans="9:16" x14ac:dyDescent="0.35">
      <c r="I541" s="7"/>
      <c r="P541" s="7"/>
    </row>
    <row r="542" spans="9:16" x14ac:dyDescent="0.35">
      <c r="I542" s="7"/>
      <c r="P542" s="7"/>
    </row>
    <row r="543" spans="9:16" x14ac:dyDescent="0.35">
      <c r="I543" s="7"/>
      <c r="P543" s="7"/>
    </row>
    <row r="544" spans="9:16" x14ac:dyDescent="0.35">
      <c r="I544" s="7"/>
      <c r="P544" s="7"/>
    </row>
    <row r="545" spans="9:16" x14ac:dyDescent="0.35">
      <c r="I545" s="7"/>
      <c r="P545" s="7"/>
    </row>
    <row r="546" spans="9:16" x14ac:dyDescent="0.35">
      <c r="I546" s="7"/>
      <c r="P546" s="7"/>
    </row>
    <row r="547" spans="9:16" x14ac:dyDescent="0.35">
      <c r="I547" s="7"/>
      <c r="P547" s="7"/>
    </row>
    <row r="548" spans="9:16" x14ac:dyDescent="0.35">
      <c r="I548" s="7"/>
      <c r="P548" s="7"/>
    </row>
    <row r="549" spans="9:16" x14ac:dyDescent="0.35">
      <c r="I549" s="7"/>
      <c r="P549" s="7"/>
    </row>
    <row r="550" spans="9:16" x14ac:dyDescent="0.35">
      <c r="I550" s="7"/>
      <c r="P550" s="7"/>
    </row>
    <row r="551" spans="9:16" x14ac:dyDescent="0.35">
      <c r="I551" s="7"/>
      <c r="P551" s="7"/>
    </row>
    <row r="552" spans="9:16" x14ac:dyDescent="0.35">
      <c r="I552" s="7"/>
      <c r="P552" s="7"/>
    </row>
    <row r="553" spans="9:16" x14ac:dyDescent="0.35">
      <c r="I553" s="7"/>
      <c r="P553" s="7"/>
    </row>
    <row r="554" spans="9:16" x14ac:dyDescent="0.35">
      <c r="I554" s="7"/>
      <c r="P554" s="7"/>
    </row>
    <row r="555" spans="9:16" x14ac:dyDescent="0.35">
      <c r="I555" s="7"/>
      <c r="P555" s="7"/>
    </row>
    <row r="556" spans="9:16" x14ac:dyDescent="0.35">
      <c r="I556" s="7"/>
      <c r="P556" s="7"/>
    </row>
    <row r="557" spans="9:16" x14ac:dyDescent="0.35">
      <c r="I557" s="7"/>
      <c r="P557" s="7"/>
    </row>
    <row r="558" spans="9:16" x14ac:dyDescent="0.35">
      <c r="I558" s="7"/>
      <c r="P558" s="7"/>
    </row>
    <row r="559" spans="9:16" x14ac:dyDescent="0.35">
      <c r="I559" s="7"/>
      <c r="P559" s="7"/>
    </row>
    <row r="560" spans="9:16" x14ac:dyDescent="0.35">
      <c r="I560" s="7"/>
      <c r="P560" s="7"/>
    </row>
    <row r="561" spans="9:16" x14ac:dyDescent="0.35">
      <c r="I561" s="7"/>
      <c r="P561" s="7"/>
    </row>
    <row r="562" spans="9:16" x14ac:dyDescent="0.35">
      <c r="I562" s="7"/>
      <c r="P562" s="7"/>
    </row>
    <row r="563" spans="9:16" x14ac:dyDescent="0.35">
      <c r="I563" s="7"/>
      <c r="P563" s="7"/>
    </row>
    <row r="564" spans="9:16" x14ac:dyDescent="0.35">
      <c r="I564" s="7"/>
      <c r="P564" s="7"/>
    </row>
    <row r="565" spans="9:16" x14ac:dyDescent="0.35">
      <c r="I565" s="7"/>
      <c r="P565" s="7"/>
    </row>
    <row r="566" spans="9:16" x14ac:dyDescent="0.35">
      <c r="I566" s="7"/>
      <c r="P566" s="7"/>
    </row>
    <row r="567" spans="9:16" x14ac:dyDescent="0.35">
      <c r="I567" s="7"/>
      <c r="P567" s="7"/>
    </row>
    <row r="568" spans="9:16" x14ac:dyDescent="0.35">
      <c r="I568" s="7"/>
      <c r="P568" s="7"/>
    </row>
    <row r="569" spans="9:16" x14ac:dyDescent="0.35">
      <c r="I569" s="7"/>
      <c r="P569" s="7"/>
    </row>
    <row r="570" spans="9:16" x14ac:dyDescent="0.35">
      <c r="I570" s="7"/>
      <c r="P570" s="7"/>
    </row>
    <row r="571" spans="9:16" x14ac:dyDescent="0.35">
      <c r="I571" s="7"/>
      <c r="P571" s="7"/>
    </row>
    <row r="572" spans="9:16" x14ac:dyDescent="0.35">
      <c r="I572" s="7"/>
      <c r="P572" s="7"/>
    </row>
    <row r="573" spans="9:16" x14ac:dyDescent="0.35">
      <c r="I573" s="7"/>
      <c r="P573" s="7"/>
    </row>
    <row r="574" spans="9:16" x14ac:dyDescent="0.35">
      <c r="I574" s="7"/>
      <c r="P574" s="7"/>
    </row>
    <row r="575" spans="9:16" x14ac:dyDescent="0.35">
      <c r="I575" s="7"/>
      <c r="P575" s="7"/>
    </row>
    <row r="576" spans="9:16" x14ac:dyDescent="0.35">
      <c r="I576" s="7"/>
      <c r="P576" s="7"/>
    </row>
    <row r="577" spans="9:16" x14ac:dyDescent="0.35">
      <c r="I577" s="7"/>
      <c r="P577" s="7"/>
    </row>
    <row r="578" spans="9:16" x14ac:dyDescent="0.35">
      <c r="I578" s="7"/>
      <c r="P578" s="7"/>
    </row>
    <row r="579" spans="9:16" x14ac:dyDescent="0.35">
      <c r="I579" s="7"/>
      <c r="P579" s="7"/>
    </row>
    <row r="580" spans="9:16" x14ac:dyDescent="0.35">
      <c r="I580" s="7"/>
      <c r="P580" s="7"/>
    </row>
    <row r="581" spans="9:16" x14ac:dyDescent="0.35">
      <c r="I581" s="7"/>
      <c r="P581" s="7"/>
    </row>
    <row r="582" spans="9:16" x14ac:dyDescent="0.35">
      <c r="I582" s="7"/>
      <c r="P582" s="7"/>
    </row>
    <row r="583" spans="9:16" x14ac:dyDescent="0.35">
      <c r="I583" s="7"/>
      <c r="P583" s="7"/>
    </row>
    <row r="584" spans="9:16" x14ac:dyDescent="0.35">
      <c r="I584" s="7"/>
      <c r="P584" s="7"/>
    </row>
    <row r="585" spans="9:16" x14ac:dyDescent="0.35">
      <c r="I585" s="7"/>
      <c r="P585" s="7"/>
    </row>
    <row r="586" spans="9:16" x14ac:dyDescent="0.35">
      <c r="I586" s="7"/>
      <c r="P586" s="7"/>
    </row>
    <row r="587" spans="9:16" x14ac:dyDescent="0.35">
      <c r="I587" s="7"/>
      <c r="P587" s="7"/>
    </row>
    <row r="588" spans="9:16" x14ac:dyDescent="0.35">
      <c r="I588" s="7"/>
      <c r="P588" s="7"/>
    </row>
    <row r="589" spans="9:16" x14ac:dyDescent="0.35">
      <c r="I589" s="7"/>
      <c r="P589" s="7"/>
    </row>
    <row r="590" spans="9:16" x14ac:dyDescent="0.35">
      <c r="I590" s="7"/>
      <c r="P590" s="7"/>
    </row>
    <row r="591" spans="9:16" x14ac:dyDescent="0.35">
      <c r="I591" s="7"/>
      <c r="P591" s="7"/>
    </row>
    <row r="592" spans="9:16" x14ac:dyDescent="0.35">
      <c r="I592" s="7"/>
      <c r="P592" s="7"/>
    </row>
    <row r="593" spans="9:16" x14ac:dyDescent="0.35">
      <c r="I593" s="7"/>
      <c r="P593" s="7"/>
    </row>
    <row r="594" spans="9:16" x14ac:dyDescent="0.35">
      <c r="I594" s="7"/>
      <c r="P594" s="7"/>
    </row>
    <row r="595" spans="9:16" x14ac:dyDescent="0.35">
      <c r="I595" s="7"/>
      <c r="P595" s="7"/>
    </row>
    <row r="596" spans="9:16" x14ac:dyDescent="0.35">
      <c r="I596" s="7"/>
      <c r="P596" s="7"/>
    </row>
    <row r="597" spans="9:16" x14ac:dyDescent="0.35">
      <c r="I597" s="7"/>
      <c r="P597" s="7"/>
    </row>
    <row r="598" spans="9:16" x14ac:dyDescent="0.35">
      <c r="I598" s="7"/>
      <c r="P598" s="7"/>
    </row>
    <row r="599" spans="9:16" x14ac:dyDescent="0.35">
      <c r="I599" s="7"/>
      <c r="P599" s="7"/>
    </row>
    <row r="600" spans="9:16" x14ac:dyDescent="0.35">
      <c r="I600" s="7"/>
      <c r="P600" s="7"/>
    </row>
    <row r="601" spans="9:16" x14ac:dyDescent="0.35">
      <c r="I601" s="7"/>
      <c r="P601" s="7"/>
    </row>
    <row r="602" spans="9:16" x14ac:dyDescent="0.35">
      <c r="I602" s="7"/>
      <c r="P602" s="7"/>
    </row>
    <row r="603" spans="9:16" x14ac:dyDescent="0.35">
      <c r="I603" s="7"/>
      <c r="P603" s="7"/>
    </row>
    <row r="604" spans="9:16" x14ac:dyDescent="0.35">
      <c r="I604" s="7"/>
      <c r="P604" s="7"/>
    </row>
    <row r="605" spans="9:16" x14ac:dyDescent="0.35">
      <c r="I605" s="7"/>
      <c r="P605" s="7"/>
    </row>
    <row r="606" spans="9:16" x14ac:dyDescent="0.35">
      <c r="I606" s="7"/>
      <c r="P606" s="7"/>
    </row>
    <row r="607" spans="9:16" x14ac:dyDescent="0.35">
      <c r="I607" s="7"/>
      <c r="P607" s="7"/>
    </row>
    <row r="608" spans="9:16" x14ac:dyDescent="0.35">
      <c r="I608" s="7"/>
      <c r="P608" s="7"/>
    </row>
    <row r="609" spans="9:16" x14ac:dyDescent="0.35">
      <c r="I609" s="7"/>
      <c r="P609" s="7"/>
    </row>
    <row r="610" spans="9:16" x14ac:dyDescent="0.35">
      <c r="I610" s="7"/>
      <c r="P610" s="7"/>
    </row>
    <row r="611" spans="9:16" x14ac:dyDescent="0.35">
      <c r="I611" s="7"/>
      <c r="P611" s="7"/>
    </row>
    <row r="612" spans="9:16" x14ac:dyDescent="0.35">
      <c r="I612" s="7"/>
      <c r="P612" s="7"/>
    </row>
    <row r="613" spans="9:16" x14ac:dyDescent="0.35">
      <c r="I613" s="7"/>
      <c r="P613" s="7"/>
    </row>
    <row r="614" spans="9:16" x14ac:dyDescent="0.35">
      <c r="I614" s="7"/>
      <c r="P614" s="7"/>
    </row>
    <row r="615" spans="9:16" x14ac:dyDescent="0.35">
      <c r="I615" s="7"/>
      <c r="P615" s="7"/>
    </row>
    <row r="616" spans="9:16" x14ac:dyDescent="0.35">
      <c r="I616" s="7"/>
      <c r="P616" s="7"/>
    </row>
    <row r="617" spans="9:16" x14ac:dyDescent="0.35">
      <c r="I617" s="7"/>
      <c r="P617" s="7"/>
    </row>
    <row r="618" spans="9:16" x14ac:dyDescent="0.35">
      <c r="I618" s="7"/>
      <c r="P618" s="7"/>
    </row>
    <row r="619" spans="9:16" x14ac:dyDescent="0.35">
      <c r="I619" s="7"/>
      <c r="P619" s="7"/>
    </row>
    <row r="620" spans="9:16" x14ac:dyDescent="0.35">
      <c r="I620" s="7"/>
      <c r="P620" s="7"/>
    </row>
    <row r="621" spans="9:16" x14ac:dyDescent="0.35">
      <c r="I621" s="7"/>
      <c r="P621" s="7"/>
    </row>
    <row r="622" spans="9:16" x14ac:dyDescent="0.35">
      <c r="I622" s="7"/>
      <c r="P622" s="7"/>
    </row>
    <row r="623" spans="9:16" x14ac:dyDescent="0.35">
      <c r="I623" s="7"/>
      <c r="P623" s="7"/>
    </row>
    <row r="624" spans="9:16" x14ac:dyDescent="0.35">
      <c r="I624" s="7"/>
      <c r="P624" s="7"/>
    </row>
    <row r="625" spans="9:16" x14ac:dyDescent="0.35">
      <c r="I625" s="7"/>
      <c r="P625" s="7"/>
    </row>
    <row r="626" spans="9:16" x14ac:dyDescent="0.35">
      <c r="I626" s="7"/>
      <c r="P626" s="7"/>
    </row>
    <row r="627" spans="9:16" x14ac:dyDescent="0.35">
      <c r="I627" s="7"/>
      <c r="P627" s="7"/>
    </row>
    <row r="628" spans="9:16" x14ac:dyDescent="0.35">
      <c r="I628" s="7"/>
      <c r="P628" s="7"/>
    </row>
    <row r="629" spans="9:16" x14ac:dyDescent="0.35">
      <c r="I629" s="7"/>
      <c r="P629" s="7"/>
    </row>
    <row r="630" spans="9:16" x14ac:dyDescent="0.35">
      <c r="I630" s="7"/>
      <c r="P630" s="7"/>
    </row>
    <row r="631" spans="9:16" x14ac:dyDescent="0.35">
      <c r="I631" s="7"/>
      <c r="P631" s="7"/>
    </row>
    <row r="632" spans="9:16" x14ac:dyDescent="0.35">
      <c r="I632" s="7"/>
      <c r="P632" s="7"/>
    </row>
    <row r="633" spans="9:16" x14ac:dyDescent="0.35">
      <c r="I633" s="7"/>
      <c r="P633" s="7"/>
    </row>
    <row r="634" spans="9:16" x14ac:dyDescent="0.35">
      <c r="I634" s="7"/>
      <c r="P634" s="7"/>
    </row>
    <row r="635" spans="9:16" x14ac:dyDescent="0.35">
      <c r="I635" s="7"/>
      <c r="P635" s="7"/>
    </row>
    <row r="636" spans="9:16" x14ac:dyDescent="0.35">
      <c r="I636" s="7"/>
      <c r="P636" s="7"/>
    </row>
    <row r="637" spans="9:16" x14ac:dyDescent="0.35">
      <c r="I637" s="7"/>
      <c r="P637" s="7"/>
    </row>
    <row r="638" spans="9:16" x14ac:dyDescent="0.35">
      <c r="I638" s="7"/>
      <c r="P638" s="7"/>
    </row>
    <row r="639" spans="9:16" x14ac:dyDescent="0.35">
      <c r="I639" s="7"/>
      <c r="P639" s="7"/>
    </row>
    <row r="640" spans="9:16" x14ac:dyDescent="0.35">
      <c r="I640" s="7"/>
      <c r="P640" s="7"/>
    </row>
    <row r="641" spans="9:16" x14ac:dyDescent="0.35">
      <c r="I641" s="7"/>
      <c r="P641" s="7"/>
    </row>
    <row r="642" spans="9:16" x14ac:dyDescent="0.35">
      <c r="I642" s="7"/>
      <c r="P642" s="7"/>
    </row>
    <row r="643" spans="9:16" x14ac:dyDescent="0.35">
      <c r="I643" s="7"/>
      <c r="P643" s="7"/>
    </row>
    <row r="644" spans="9:16" x14ac:dyDescent="0.35">
      <c r="I644" s="7"/>
      <c r="P644" s="7"/>
    </row>
    <row r="645" spans="9:16" x14ac:dyDescent="0.35">
      <c r="I645" s="7"/>
      <c r="P645" s="7"/>
    </row>
    <row r="646" spans="9:16" x14ac:dyDescent="0.35">
      <c r="I646" s="7"/>
      <c r="P646" s="7"/>
    </row>
    <row r="647" spans="9:16" x14ac:dyDescent="0.35">
      <c r="I647" s="7"/>
      <c r="P647" s="7"/>
    </row>
    <row r="648" spans="9:16" x14ac:dyDescent="0.35">
      <c r="I648" s="7"/>
      <c r="P648" s="7"/>
    </row>
    <row r="649" spans="9:16" x14ac:dyDescent="0.35">
      <c r="I649" s="7"/>
      <c r="P649" s="7"/>
    </row>
    <row r="650" spans="9:16" x14ac:dyDescent="0.35">
      <c r="I650" s="7"/>
      <c r="P650" s="7"/>
    </row>
    <row r="651" spans="9:16" x14ac:dyDescent="0.35">
      <c r="I651" s="7"/>
      <c r="P651" s="7"/>
    </row>
    <row r="652" spans="9:16" x14ac:dyDescent="0.35">
      <c r="I652" s="7"/>
      <c r="P652" s="7"/>
    </row>
    <row r="653" spans="9:16" x14ac:dyDescent="0.35">
      <c r="I653" s="7"/>
      <c r="P653" s="7"/>
    </row>
    <row r="654" spans="9:16" x14ac:dyDescent="0.35">
      <c r="I654" s="7"/>
      <c r="P654" s="7"/>
    </row>
    <row r="655" spans="9:16" x14ac:dyDescent="0.35">
      <c r="I655" s="7"/>
      <c r="P655" s="7"/>
    </row>
    <row r="656" spans="9:16" x14ac:dyDescent="0.35">
      <c r="I656" s="7"/>
      <c r="P656" s="7"/>
    </row>
    <row r="657" spans="9:16" x14ac:dyDescent="0.35">
      <c r="I657" s="7"/>
      <c r="P657" s="7"/>
    </row>
    <row r="658" spans="9:16" x14ac:dyDescent="0.35">
      <c r="I658" s="7"/>
      <c r="P658" s="7"/>
    </row>
    <row r="659" spans="9:16" x14ac:dyDescent="0.35">
      <c r="I659" s="7"/>
      <c r="P659" s="7"/>
    </row>
    <row r="660" spans="9:16" x14ac:dyDescent="0.35">
      <c r="I660" s="7"/>
      <c r="P660" s="7"/>
    </row>
    <row r="661" spans="9:16" x14ac:dyDescent="0.35">
      <c r="I661" s="7"/>
      <c r="P661" s="7"/>
    </row>
    <row r="662" spans="9:16" x14ac:dyDescent="0.35">
      <c r="I662" s="7"/>
      <c r="P662" s="7"/>
    </row>
    <row r="663" spans="9:16" x14ac:dyDescent="0.35">
      <c r="I663" s="7"/>
      <c r="P663" s="7"/>
    </row>
    <row r="664" spans="9:16" x14ac:dyDescent="0.35">
      <c r="I664" s="7"/>
      <c r="P664" s="7"/>
    </row>
    <row r="665" spans="9:16" x14ac:dyDescent="0.35">
      <c r="I665" s="7"/>
      <c r="P665" s="7"/>
    </row>
    <row r="666" spans="9:16" x14ac:dyDescent="0.35">
      <c r="I666" s="7"/>
      <c r="P666" s="7"/>
    </row>
    <row r="667" spans="9:16" x14ac:dyDescent="0.35">
      <c r="I667" s="7"/>
      <c r="P667" s="7"/>
    </row>
    <row r="668" spans="9:16" x14ac:dyDescent="0.35">
      <c r="I668" s="7"/>
      <c r="P668" s="7"/>
    </row>
    <row r="669" spans="9:16" x14ac:dyDescent="0.35">
      <c r="I669" s="7"/>
      <c r="P669" s="7"/>
    </row>
    <row r="670" spans="9:16" x14ac:dyDescent="0.35">
      <c r="I670" s="7"/>
      <c r="P670" s="7"/>
    </row>
    <row r="671" spans="9:16" x14ac:dyDescent="0.35">
      <c r="I671" s="7"/>
      <c r="P671" s="7"/>
    </row>
    <row r="672" spans="9:16" x14ac:dyDescent="0.35">
      <c r="I672" s="7"/>
      <c r="P672" s="7"/>
    </row>
    <row r="673" spans="9:16" x14ac:dyDescent="0.35">
      <c r="I673" s="7"/>
      <c r="P673" s="7"/>
    </row>
    <row r="674" spans="9:16" x14ac:dyDescent="0.35">
      <c r="I674" s="7"/>
      <c r="P674" s="7"/>
    </row>
    <row r="675" spans="9:16" x14ac:dyDescent="0.35">
      <c r="I675" s="7"/>
      <c r="P675" s="7"/>
    </row>
    <row r="676" spans="9:16" x14ac:dyDescent="0.35">
      <c r="I676" s="7"/>
      <c r="P676" s="7"/>
    </row>
    <row r="677" spans="9:16" x14ac:dyDescent="0.35">
      <c r="I677" s="7"/>
      <c r="P677" s="7"/>
    </row>
    <row r="678" spans="9:16" x14ac:dyDescent="0.35">
      <c r="I678" s="7"/>
      <c r="P678" s="7"/>
    </row>
    <row r="679" spans="9:16" x14ac:dyDescent="0.35">
      <c r="I679" s="7"/>
      <c r="P679" s="7"/>
    </row>
    <row r="680" spans="9:16" x14ac:dyDescent="0.35">
      <c r="I680" s="7"/>
      <c r="P680" s="7"/>
    </row>
    <row r="681" spans="9:16" x14ac:dyDescent="0.35">
      <c r="I681" s="7"/>
      <c r="P681" s="7"/>
    </row>
    <row r="682" spans="9:16" x14ac:dyDescent="0.35">
      <c r="I682" s="7"/>
      <c r="P682" s="7"/>
    </row>
    <row r="683" spans="9:16" x14ac:dyDescent="0.35">
      <c r="I683" s="7"/>
      <c r="P683" s="7"/>
    </row>
    <row r="684" spans="9:16" x14ac:dyDescent="0.35">
      <c r="I684" s="7"/>
      <c r="P684" s="7"/>
    </row>
    <row r="685" spans="9:16" x14ac:dyDescent="0.35">
      <c r="I685" s="7"/>
      <c r="P685" s="7"/>
    </row>
    <row r="686" spans="9:16" x14ac:dyDescent="0.35">
      <c r="I686" s="7"/>
      <c r="P686" s="7"/>
    </row>
    <row r="687" spans="9:16" x14ac:dyDescent="0.35">
      <c r="I687" s="7"/>
      <c r="P687" s="7"/>
    </row>
    <row r="688" spans="9:16" x14ac:dyDescent="0.35">
      <c r="I688" s="7"/>
      <c r="P688" s="7"/>
    </row>
    <row r="689" spans="9:16" x14ac:dyDescent="0.35">
      <c r="I689" s="7"/>
      <c r="P689" s="7"/>
    </row>
    <row r="690" spans="9:16" x14ac:dyDescent="0.35">
      <c r="I690" s="7"/>
      <c r="P690" s="7"/>
    </row>
    <row r="691" spans="9:16" x14ac:dyDescent="0.35">
      <c r="I691" s="7"/>
      <c r="P691" s="7"/>
    </row>
    <row r="692" spans="9:16" x14ac:dyDescent="0.35">
      <c r="I692" s="7"/>
      <c r="P692" s="7"/>
    </row>
    <row r="693" spans="9:16" x14ac:dyDescent="0.35">
      <c r="I693" s="7"/>
      <c r="P693" s="7"/>
    </row>
    <row r="694" spans="9:16" x14ac:dyDescent="0.35">
      <c r="I694" s="7"/>
      <c r="P694" s="7"/>
    </row>
    <row r="695" spans="9:16" x14ac:dyDescent="0.35">
      <c r="I695" s="7"/>
      <c r="P695" s="7"/>
    </row>
    <row r="696" spans="9:16" x14ac:dyDescent="0.35">
      <c r="I696" s="7"/>
      <c r="P696" s="7"/>
    </row>
    <row r="697" spans="9:16" x14ac:dyDescent="0.35">
      <c r="I697" s="7"/>
      <c r="P697" s="7"/>
    </row>
    <row r="698" spans="9:16" x14ac:dyDescent="0.35">
      <c r="I698" s="7"/>
      <c r="P698" s="7"/>
    </row>
    <row r="699" spans="9:16" x14ac:dyDescent="0.35">
      <c r="I699" s="7"/>
      <c r="P699" s="7"/>
    </row>
    <row r="700" spans="9:16" x14ac:dyDescent="0.35">
      <c r="I700" s="7"/>
      <c r="P700" s="7"/>
    </row>
    <row r="701" spans="9:16" x14ac:dyDescent="0.35">
      <c r="I701" s="7"/>
      <c r="P701" s="7"/>
    </row>
    <row r="702" spans="9:16" x14ac:dyDescent="0.35">
      <c r="I702" s="7"/>
      <c r="P702" s="7"/>
    </row>
    <row r="703" spans="9:16" x14ac:dyDescent="0.35">
      <c r="I703" s="7"/>
      <c r="P703" s="7"/>
    </row>
    <row r="704" spans="9:16" x14ac:dyDescent="0.35">
      <c r="I704" s="7"/>
      <c r="P704" s="7"/>
    </row>
    <row r="705" spans="9:16" x14ac:dyDescent="0.35">
      <c r="I705" s="7"/>
      <c r="P705" s="7"/>
    </row>
    <row r="706" spans="9:16" x14ac:dyDescent="0.35">
      <c r="I706" s="7"/>
      <c r="P706" s="7"/>
    </row>
    <row r="707" spans="9:16" x14ac:dyDescent="0.35">
      <c r="I707" s="7"/>
      <c r="P707" s="7"/>
    </row>
    <row r="708" spans="9:16" x14ac:dyDescent="0.35">
      <c r="I708" s="7"/>
      <c r="P708" s="7"/>
    </row>
    <row r="709" spans="9:16" x14ac:dyDescent="0.35">
      <c r="I709" s="7"/>
      <c r="P709" s="7"/>
    </row>
    <row r="710" spans="9:16" x14ac:dyDescent="0.35">
      <c r="I710" s="7"/>
      <c r="P710" s="7"/>
    </row>
    <row r="711" spans="9:16" x14ac:dyDescent="0.35">
      <c r="I711" s="7"/>
      <c r="P711" s="7"/>
    </row>
    <row r="712" spans="9:16" x14ac:dyDescent="0.35">
      <c r="I712" s="7"/>
      <c r="P712" s="7"/>
    </row>
    <row r="713" spans="9:16" x14ac:dyDescent="0.35">
      <c r="I713" s="7"/>
      <c r="P713" s="7"/>
    </row>
    <row r="714" spans="9:16" x14ac:dyDescent="0.35">
      <c r="I714" s="7"/>
      <c r="P714" s="7"/>
    </row>
    <row r="715" spans="9:16" x14ac:dyDescent="0.35">
      <c r="I715" s="7"/>
      <c r="P715" s="7"/>
    </row>
    <row r="716" spans="9:16" x14ac:dyDescent="0.35">
      <c r="I716" s="7"/>
      <c r="P716" s="7"/>
    </row>
    <row r="717" spans="9:16" x14ac:dyDescent="0.35">
      <c r="I717" s="7"/>
      <c r="P717" s="7"/>
    </row>
    <row r="718" spans="9:16" x14ac:dyDescent="0.35">
      <c r="I718" s="7"/>
      <c r="P718" s="7"/>
    </row>
    <row r="719" spans="9:16" x14ac:dyDescent="0.35">
      <c r="I719" s="7"/>
      <c r="P719" s="7"/>
    </row>
    <row r="720" spans="9:16" x14ac:dyDescent="0.35">
      <c r="I720" s="7"/>
      <c r="P720" s="7"/>
    </row>
    <row r="721" spans="9:16" x14ac:dyDescent="0.35">
      <c r="I721" s="7"/>
      <c r="P721" s="7"/>
    </row>
    <row r="722" spans="9:16" x14ac:dyDescent="0.35">
      <c r="I722" s="7"/>
      <c r="P722" s="7"/>
    </row>
    <row r="723" spans="9:16" x14ac:dyDescent="0.35">
      <c r="I723" s="7"/>
      <c r="P723" s="7"/>
    </row>
    <row r="724" spans="9:16" x14ac:dyDescent="0.35">
      <c r="I724" s="7"/>
      <c r="P724" s="7"/>
    </row>
    <row r="725" spans="9:16" x14ac:dyDescent="0.35">
      <c r="I725" s="7"/>
      <c r="P725" s="7"/>
    </row>
    <row r="726" spans="9:16" x14ac:dyDescent="0.35">
      <c r="I726" s="7"/>
      <c r="P726" s="7"/>
    </row>
    <row r="727" spans="9:16" x14ac:dyDescent="0.35">
      <c r="I727" s="7"/>
      <c r="P727" s="7"/>
    </row>
    <row r="728" spans="9:16" x14ac:dyDescent="0.35">
      <c r="I728" s="7"/>
      <c r="P728" s="7"/>
    </row>
    <row r="729" spans="9:16" x14ac:dyDescent="0.35">
      <c r="I729" s="7"/>
      <c r="P729" s="7"/>
    </row>
    <row r="730" spans="9:16" x14ac:dyDescent="0.35">
      <c r="I730" s="7"/>
      <c r="P730" s="7"/>
    </row>
    <row r="731" spans="9:16" x14ac:dyDescent="0.35">
      <c r="I731" s="7"/>
      <c r="P731" s="7"/>
    </row>
    <row r="732" spans="9:16" x14ac:dyDescent="0.35">
      <c r="I732" s="7"/>
      <c r="P732" s="7"/>
    </row>
    <row r="733" spans="9:16" x14ac:dyDescent="0.35">
      <c r="I733" s="7"/>
      <c r="P733" s="7"/>
    </row>
    <row r="734" spans="9:16" x14ac:dyDescent="0.35">
      <c r="I734" s="7"/>
      <c r="P734" s="7"/>
    </row>
    <row r="735" spans="9:16" x14ac:dyDescent="0.35">
      <c r="I735" s="7"/>
      <c r="P735" s="7"/>
    </row>
    <row r="736" spans="9:16" x14ac:dyDescent="0.35">
      <c r="I736" s="7"/>
      <c r="P736" s="7"/>
    </row>
    <row r="737" spans="9:16" x14ac:dyDescent="0.35">
      <c r="I737" s="7"/>
      <c r="P737" s="7"/>
    </row>
    <row r="738" spans="9:16" x14ac:dyDescent="0.35">
      <c r="I738" s="7"/>
      <c r="P738" s="7"/>
    </row>
    <row r="739" spans="9:16" x14ac:dyDescent="0.35">
      <c r="I739" s="7"/>
      <c r="P739" s="7"/>
    </row>
    <row r="740" spans="9:16" x14ac:dyDescent="0.35">
      <c r="I740" s="7"/>
      <c r="P740" s="7"/>
    </row>
    <row r="741" spans="9:16" x14ac:dyDescent="0.35">
      <c r="I741" s="7"/>
      <c r="P741" s="7"/>
    </row>
    <row r="742" spans="9:16" x14ac:dyDescent="0.35">
      <c r="I742" s="7"/>
      <c r="P742" s="7"/>
    </row>
    <row r="743" spans="9:16" x14ac:dyDescent="0.35">
      <c r="I743" s="7"/>
      <c r="P743" s="7"/>
    </row>
    <row r="744" spans="9:16" x14ac:dyDescent="0.35">
      <c r="I744" s="7"/>
      <c r="P744" s="7"/>
    </row>
    <row r="745" spans="9:16" x14ac:dyDescent="0.35">
      <c r="I745" s="7"/>
      <c r="P745" s="7"/>
    </row>
    <row r="746" spans="9:16" x14ac:dyDescent="0.35">
      <c r="I746" s="7"/>
      <c r="P746" s="7"/>
    </row>
    <row r="747" spans="9:16" x14ac:dyDescent="0.35">
      <c r="I747" s="7"/>
      <c r="P747" s="7"/>
    </row>
    <row r="748" spans="9:16" x14ac:dyDescent="0.35">
      <c r="I748" s="7"/>
      <c r="P748" s="7"/>
    </row>
    <row r="749" spans="9:16" x14ac:dyDescent="0.35">
      <c r="I749" s="7"/>
      <c r="P749" s="7"/>
    </row>
    <row r="750" spans="9:16" x14ac:dyDescent="0.35">
      <c r="I750" s="7"/>
      <c r="P750" s="7"/>
    </row>
    <row r="751" spans="9:16" x14ac:dyDescent="0.35">
      <c r="I751" s="7"/>
      <c r="P751" s="7"/>
    </row>
    <row r="752" spans="9:16" x14ac:dyDescent="0.35">
      <c r="I752" s="7"/>
      <c r="P752" s="7"/>
    </row>
    <row r="753" spans="9:16" x14ac:dyDescent="0.35">
      <c r="I753" s="7"/>
      <c r="P753" s="7"/>
    </row>
    <row r="754" spans="9:16" x14ac:dyDescent="0.35">
      <c r="I754" s="7"/>
      <c r="P754" s="7"/>
    </row>
    <row r="755" spans="9:16" x14ac:dyDescent="0.35">
      <c r="I755" s="7"/>
      <c r="P755" s="7"/>
    </row>
    <row r="756" spans="9:16" x14ac:dyDescent="0.35">
      <c r="I756" s="7"/>
      <c r="P756" s="7"/>
    </row>
    <row r="757" spans="9:16" x14ac:dyDescent="0.35">
      <c r="I757" s="7"/>
      <c r="P757" s="7"/>
    </row>
    <row r="758" spans="9:16" x14ac:dyDescent="0.35">
      <c r="I758" s="7"/>
      <c r="P758" s="7"/>
    </row>
    <row r="759" spans="9:16" x14ac:dyDescent="0.35">
      <c r="I759" s="7"/>
      <c r="P759" s="7"/>
    </row>
    <row r="760" spans="9:16" x14ac:dyDescent="0.35">
      <c r="I760" s="7"/>
      <c r="P760" s="7"/>
    </row>
    <row r="761" spans="9:16" x14ac:dyDescent="0.35">
      <c r="I761" s="7"/>
      <c r="P761" s="7"/>
    </row>
    <row r="762" spans="9:16" x14ac:dyDescent="0.35">
      <c r="I762" s="7"/>
      <c r="P762" s="7"/>
    </row>
    <row r="763" spans="9:16" x14ac:dyDescent="0.35">
      <c r="I763" s="7"/>
      <c r="P763" s="7"/>
    </row>
    <row r="764" spans="9:16" x14ac:dyDescent="0.35">
      <c r="I764" s="7"/>
      <c r="P764" s="7"/>
    </row>
    <row r="765" spans="9:16" x14ac:dyDescent="0.35">
      <c r="I765" s="7"/>
      <c r="P765" s="7"/>
    </row>
    <row r="766" spans="9:16" x14ac:dyDescent="0.35">
      <c r="I766" s="7"/>
      <c r="P766" s="7"/>
    </row>
    <row r="767" spans="9:16" x14ac:dyDescent="0.35">
      <c r="I767" s="7"/>
      <c r="P767" s="7"/>
    </row>
    <row r="768" spans="9:16" x14ac:dyDescent="0.35">
      <c r="I768" s="7"/>
      <c r="P768" s="7"/>
    </row>
    <row r="769" spans="9:16" x14ac:dyDescent="0.35">
      <c r="I769" s="7"/>
      <c r="P769" s="7"/>
    </row>
    <row r="770" spans="9:16" x14ac:dyDescent="0.35">
      <c r="I770" s="7"/>
      <c r="P770" s="7"/>
    </row>
    <row r="771" spans="9:16" x14ac:dyDescent="0.35">
      <c r="I771" s="7"/>
      <c r="P771" s="7"/>
    </row>
    <row r="772" spans="9:16" x14ac:dyDescent="0.35">
      <c r="I772" s="7"/>
      <c r="P772" s="7"/>
    </row>
    <row r="773" spans="9:16" x14ac:dyDescent="0.35">
      <c r="I773" s="7"/>
      <c r="P773" s="7"/>
    </row>
    <row r="774" spans="9:16" x14ac:dyDescent="0.35">
      <c r="I774" s="7"/>
      <c r="P774" s="7"/>
    </row>
    <row r="775" spans="9:16" x14ac:dyDescent="0.35">
      <c r="I775" s="7"/>
      <c r="P775" s="7"/>
    </row>
    <row r="776" spans="9:16" x14ac:dyDescent="0.35">
      <c r="I776" s="7"/>
      <c r="P776" s="7"/>
    </row>
    <row r="777" spans="9:16" x14ac:dyDescent="0.35">
      <c r="I777" s="7"/>
      <c r="P777" s="7"/>
    </row>
    <row r="778" spans="9:16" x14ac:dyDescent="0.35">
      <c r="I778" s="7"/>
      <c r="P778" s="7"/>
    </row>
    <row r="779" spans="9:16" x14ac:dyDescent="0.35">
      <c r="I779" s="7"/>
      <c r="P779" s="7"/>
    </row>
    <row r="780" spans="9:16" x14ac:dyDescent="0.35">
      <c r="I780" s="7"/>
      <c r="P780" s="7"/>
    </row>
    <row r="781" spans="9:16" x14ac:dyDescent="0.35">
      <c r="I781" s="7"/>
      <c r="P781" s="7"/>
    </row>
    <row r="782" spans="9:16" x14ac:dyDescent="0.35">
      <c r="I782" s="7"/>
      <c r="P782" s="7"/>
    </row>
    <row r="783" spans="9:16" x14ac:dyDescent="0.35">
      <c r="I783" s="7"/>
      <c r="P783" s="7"/>
    </row>
    <row r="784" spans="9:16" x14ac:dyDescent="0.35">
      <c r="I784" s="7"/>
      <c r="P784" s="7"/>
    </row>
    <row r="785" spans="9:16" x14ac:dyDescent="0.35">
      <c r="I785" s="7"/>
      <c r="P785" s="7"/>
    </row>
    <row r="786" spans="9:16" x14ac:dyDescent="0.35">
      <c r="I786" s="7"/>
      <c r="P786" s="7"/>
    </row>
    <row r="787" spans="9:16" x14ac:dyDescent="0.35">
      <c r="I787" s="7"/>
      <c r="P787" s="7"/>
    </row>
    <row r="788" spans="9:16" x14ac:dyDescent="0.35">
      <c r="I788" s="7"/>
      <c r="P788" s="7"/>
    </row>
    <row r="789" spans="9:16" x14ac:dyDescent="0.35">
      <c r="I789" s="7"/>
      <c r="P789" s="7"/>
    </row>
    <row r="790" spans="9:16" x14ac:dyDescent="0.35">
      <c r="I790" s="7"/>
      <c r="P790" s="7"/>
    </row>
    <row r="791" spans="9:16" x14ac:dyDescent="0.35">
      <c r="I791" s="7"/>
      <c r="P791" s="7"/>
    </row>
    <row r="792" spans="9:16" x14ac:dyDescent="0.35">
      <c r="I792" s="7"/>
      <c r="P792" s="7"/>
    </row>
    <row r="793" spans="9:16" x14ac:dyDescent="0.35">
      <c r="I793" s="7"/>
      <c r="P793" s="7"/>
    </row>
    <row r="794" spans="9:16" x14ac:dyDescent="0.35">
      <c r="I794" s="7"/>
      <c r="P794" s="7"/>
    </row>
    <row r="795" spans="9:16" x14ac:dyDescent="0.35">
      <c r="I795" s="7"/>
      <c r="P795" s="7"/>
    </row>
    <row r="796" spans="9:16" x14ac:dyDescent="0.35">
      <c r="I796" s="7"/>
      <c r="P796" s="7"/>
    </row>
    <row r="797" spans="9:16" x14ac:dyDescent="0.35">
      <c r="I797" s="7"/>
      <c r="P797" s="7"/>
    </row>
    <row r="798" spans="9:16" x14ac:dyDescent="0.35">
      <c r="I798" s="7"/>
      <c r="P798" s="7"/>
    </row>
    <row r="799" spans="9:16" x14ac:dyDescent="0.35">
      <c r="I799" s="7"/>
      <c r="P799" s="7"/>
    </row>
    <row r="800" spans="9:16" x14ac:dyDescent="0.35">
      <c r="I800" s="7"/>
      <c r="P800" s="7"/>
    </row>
    <row r="801" spans="9:16" x14ac:dyDescent="0.35">
      <c r="I801" s="7"/>
      <c r="P801" s="7"/>
    </row>
    <row r="802" spans="9:16" x14ac:dyDescent="0.35">
      <c r="I802" s="7"/>
      <c r="P802" s="7"/>
    </row>
    <row r="803" spans="9:16" x14ac:dyDescent="0.35">
      <c r="I803" s="7"/>
      <c r="P803" s="7"/>
    </row>
    <row r="804" spans="9:16" x14ac:dyDescent="0.35">
      <c r="I804" s="7"/>
      <c r="P804" s="7"/>
    </row>
    <row r="805" spans="9:16" x14ac:dyDescent="0.35">
      <c r="I805" s="7"/>
      <c r="P805" s="7"/>
    </row>
    <row r="806" spans="9:16" x14ac:dyDescent="0.35">
      <c r="I806" s="7"/>
      <c r="P806" s="7"/>
    </row>
    <row r="807" spans="9:16" x14ac:dyDescent="0.35">
      <c r="I807" s="7"/>
      <c r="P807" s="7"/>
    </row>
    <row r="808" spans="9:16" x14ac:dyDescent="0.35">
      <c r="I808" s="7"/>
      <c r="P808" s="7"/>
    </row>
    <row r="809" spans="9:16" x14ac:dyDescent="0.35">
      <c r="I809" s="7"/>
      <c r="P809" s="7"/>
    </row>
    <row r="810" spans="9:16" x14ac:dyDescent="0.35">
      <c r="I810" s="7"/>
      <c r="P810" s="7"/>
    </row>
    <row r="811" spans="9:16" x14ac:dyDescent="0.35">
      <c r="I811" s="7"/>
      <c r="P811" s="7"/>
    </row>
    <row r="812" spans="9:16" x14ac:dyDescent="0.35">
      <c r="I812" s="7"/>
      <c r="P812" s="7"/>
    </row>
    <row r="813" spans="9:16" x14ac:dyDescent="0.35">
      <c r="I813" s="7"/>
      <c r="P813" s="7"/>
    </row>
    <row r="814" spans="9:16" x14ac:dyDescent="0.35">
      <c r="I814" s="7"/>
      <c r="P814" s="7"/>
    </row>
    <row r="815" spans="9:16" x14ac:dyDescent="0.35">
      <c r="I815" s="7"/>
      <c r="P815" s="7"/>
    </row>
    <row r="816" spans="9:16" x14ac:dyDescent="0.35">
      <c r="I816" s="7"/>
      <c r="P816" s="7"/>
    </row>
    <row r="817" spans="9:16" x14ac:dyDescent="0.35">
      <c r="I817" s="7"/>
      <c r="P817" s="7"/>
    </row>
    <row r="818" spans="9:16" x14ac:dyDescent="0.35">
      <c r="I818" s="7"/>
      <c r="P818" s="7"/>
    </row>
    <row r="819" spans="9:16" x14ac:dyDescent="0.35">
      <c r="I819" s="7"/>
      <c r="P819" s="7"/>
    </row>
    <row r="820" spans="9:16" x14ac:dyDescent="0.35">
      <c r="I820" s="7"/>
      <c r="P820" s="7"/>
    </row>
    <row r="821" spans="9:16" x14ac:dyDescent="0.35">
      <c r="I821" s="7"/>
      <c r="P821" s="7"/>
    </row>
    <row r="822" spans="9:16" x14ac:dyDescent="0.35">
      <c r="I822" s="7"/>
      <c r="P822" s="7"/>
    </row>
    <row r="823" spans="9:16" x14ac:dyDescent="0.35">
      <c r="I823" s="7"/>
      <c r="P823" s="7"/>
    </row>
    <row r="824" spans="9:16" x14ac:dyDescent="0.35">
      <c r="I824" s="7"/>
      <c r="P824" s="7"/>
    </row>
    <row r="825" spans="9:16" x14ac:dyDescent="0.35">
      <c r="I825" s="7"/>
      <c r="P825" s="7"/>
    </row>
    <row r="826" spans="9:16" x14ac:dyDescent="0.35">
      <c r="I826" s="7"/>
      <c r="P826" s="7"/>
    </row>
    <row r="827" spans="9:16" x14ac:dyDescent="0.35">
      <c r="I827" s="7"/>
      <c r="P827" s="7"/>
    </row>
    <row r="828" spans="9:16" x14ac:dyDescent="0.35">
      <c r="I828" s="7"/>
      <c r="P828" s="7"/>
    </row>
    <row r="829" spans="9:16" x14ac:dyDescent="0.35">
      <c r="I829" s="7"/>
      <c r="P829" s="7"/>
    </row>
    <row r="830" spans="9:16" x14ac:dyDescent="0.35">
      <c r="I830" s="7"/>
      <c r="P830" s="7"/>
    </row>
    <row r="831" spans="9:16" x14ac:dyDescent="0.35">
      <c r="I831" s="7"/>
      <c r="P831" s="7"/>
    </row>
    <row r="832" spans="9:16" x14ac:dyDescent="0.35">
      <c r="I832" s="7"/>
      <c r="P832" s="7"/>
    </row>
    <row r="833" spans="9:16" x14ac:dyDescent="0.35">
      <c r="I833" s="7"/>
      <c r="P833" s="7"/>
    </row>
    <row r="834" spans="9:16" x14ac:dyDescent="0.35">
      <c r="I834" s="7"/>
      <c r="P834" s="7"/>
    </row>
    <row r="835" spans="9:16" x14ac:dyDescent="0.35">
      <c r="I835" s="7"/>
      <c r="P835" s="7"/>
    </row>
    <row r="836" spans="9:16" x14ac:dyDescent="0.35">
      <c r="I836" s="7"/>
      <c r="P836" s="7"/>
    </row>
    <row r="837" spans="9:16" x14ac:dyDescent="0.35">
      <c r="I837" s="7"/>
      <c r="P837" s="7"/>
    </row>
    <row r="838" spans="9:16" x14ac:dyDescent="0.35">
      <c r="I838" s="7"/>
      <c r="P838" s="7"/>
    </row>
    <row r="839" spans="9:16" x14ac:dyDescent="0.35">
      <c r="I839" s="7"/>
      <c r="P839" s="7"/>
    </row>
    <row r="840" spans="9:16" x14ac:dyDescent="0.35">
      <c r="I840" s="7"/>
      <c r="P840" s="7"/>
    </row>
    <row r="841" spans="9:16" x14ac:dyDescent="0.35">
      <c r="I841" s="7"/>
      <c r="P841" s="7"/>
    </row>
    <row r="842" spans="9:16" x14ac:dyDescent="0.35">
      <c r="I842" s="7"/>
      <c r="P842" s="7"/>
    </row>
    <row r="843" spans="9:16" x14ac:dyDescent="0.35">
      <c r="I843" s="7"/>
      <c r="P843" s="7"/>
    </row>
    <row r="844" spans="9:16" x14ac:dyDescent="0.35">
      <c r="I844" s="7"/>
      <c r="P844" s="7"/>
    </row>
    <row r="845" spans="9:16" x14ac:dyDescent="0.35">
      <c r="I845" s="7"/>
      <c r="P845" s="7"/>
    </row>
    <row r="846" spans="9:16" x14ac:dyDescent="0.35">
      <c r="I846" s="7"/>
      <c r="P846" s="7"/>
    </row>
    <row r="847" spans="9:16" x14ac:dyDescent="0.35">
      <c r="I847" s="7"/>
      <c r="P847" s="7"/>
    </row>
    <row r="848" spans="9:16" x14ac:dyDescent="0.35">
      <c r="I848" s="7"/>
      <c r="P848" s="7"/>
    </row>
    <row r="849" spans="9:16" x14ac:dyDescent="0.35">
      <c r="I849" s="7"/>
      <c r="P849" s="7"/>
    </row>
    <row r="850" spans="9:16" x14ac:dyDescent="0.35">
      <c r="I850" s="7"/>
      <c r="P850" s="7"/>
    </row>
    <row r="851" spans="9:16" x14ac:dyDescent="0.35">
      <c r="I851" s="7"/>
      <c r="P851" s="7"/>
    </row>
    <row r="852" spans="9:16" x14ac:dyDescent="0.35">
      <c r="I852" s="7"/>
      <c r="P852" s="7"/>
    </row>
    <row r="853" spans="9:16" x14ac:dyDescent="0.35">
      <c r="I853" s="7"/>
      <c r="P853" s="7"/>
    </row>
    <row r="854" spans="9:16" x14ac:dyDescent="0.35">
      <c r="I854" s="7"/>
      <c r="P854" s="7"/>
    </row>
    <row r="855" spans="9:16" x14ac:dyDescent="0.35">
      <c r="I855" s="7"/>
      <c r="P855" s="7"/>
    </row>
    <row r="856" spans="9:16" x14ac:dyDescent="0.35">
      <c r="I856" s="7"/>
      <c r="P856" s="7"/>
    </row>
    <row r="857" spans="9:16" x14ac:dyDescent="0.35">
      <c r="I857" s="7"/>
      <c r="P857" s="7"/>
    </row>
    <row r="858" spans="9:16" x14ac:dyDescent="0.35">
      <c r="I858" s="7"/>
      <c r="P858" s="7"/>
    </row>
    <row r="859" spans="9:16" x14ac:dyDescent="0.35">
      <c r="I859" s="7"/>
      <c r="P859" s="7"/>
    </row>
    <row r="860" spans="9:16" x14ac:dyDescent="0.35">
      <c r="I860" s="7"/>
      <c r="P860" s="7"/>
    </row>
    <row r="861" spans="9:16" x14ac:dyDescent="0.35">
      <c r="I861" s="7"/>
      <c r="P861" s="7"/>
    </row>
    <row r="862" spans="9:16" x14ac:dyDescent="0.35">
      <c r="I862" s="7"/>
      <c r="P862" s="7"/>
    </row>
    <row r="863" spans="9:16" x14ac:dyDescent="0.35">
      <c r="I863" s="7"/>
      <c r="P863" s="7"/>
    </row>
    <row r="864" spans="9:16" x14ac:dyDescent="0.35">
      <c r="I864" s="7"/>
      <c r="P864" s="7"/>
    </row>
    <row r="865" spans="9:16" x14ac:dyDescent="0.35">
      <c r="I865" s="7"/>
      <c r="P865" s="7"/>
    </row>
    <row r="866" spans="9:16" x14ac:dyDescent="0.35">
      <c r="I866" s="7"/>
      <c r="P866" s="7"/>
    </row>
    <row r="867" spans="9:16" x14ac:dyDescent="0.35">
      <c r="I867" s="7"/>
      <c r="P867" s="7"/>
    </row>
    <row r="868" spans="9:16" x14ac:dyDescent="0.35">
      <c r="I868" s="7"/>
      <c r="P868" s="7"/>
    </row>
    <row r="869" spans="9:16" x14ac:dyDescent="0.35">
      <c r="I869" s="7"/>
      <c r="P869" s="7"/>
    </row>
    <row r="870" spans="9:16" x14ac:dyDescent="0.35">
      <c r="I870" s="7"/>
      <c r="P870" s="7"/>
    </row>
    <row r="871" spans="9:16" x14ac:dyDescent="0.35">
      <c r="I871" s="7"/>
      <c r="P871" s="7"/>
    </row>
    <row r="872" spans="9:16" x14ac:dyDescent="0.35">
      <c r="I872" s="7"/>
      <c r="P872" s="7"/>
    </row>
    <row r="873" spans="9:16" x14ac:dyDescent="0.35">
      <c r="I873" s="7"/>
      <c r="P873" s="7"/>
    </row>
    <row r="874" spans="9:16" x14ac:dyDescent="0.35">
      <c r="I874" s="7"/>
      <c r="P874" s="7"/>
    </row>
    <row r="875" spans="9:16" x14ac:dyDescent="0.35">
      <c r="I875" s="7"/>
      <c r="P875" s="7"/>
    </row>
    <row r="876" spans="9:16" x14ac:dyDescent="0.35">
      <c r="I876" s="7"/>
      <c r="P876" s="7"/>
    </row>
    <row r="877" spans="9:16" x14ac:dyDescent="0.35">
      <c r="I877" s="7"/>
      <c r="P877" s="7"/>
    </row>
    <row r="878" spans="9:16" x14ac:dyDescent="0.35">
      <c r="I878" s="7"/>
      <c r="P878" s="7"/>
    </row>
    <row r="879" spans="9:16" x14ac:dyDescent="0.35">
      <c r="I879" s="7"/>
      <c r="P879" s="7"/>
    </row>
    <row r="880" spans="9:16" x14ac:dyDescent="0.35">
      <c r="I880" s="7"/>
      <c r="P880" s="7"/>
    </row>
    <row r="881" spans="9:16" x14ac:dyDescent="0.35">
      <c r="I881" s="7"/>
      <c r="P881" s="7"/>
    </row>
    <row r="882" spans="9:16" x14ac:dyDescent="0.35">
      <c r="I882" s="7"/>
      <c r="P882" s="7"/>
    </row>
    <row r="883" spans="9:16" x14ac:dyDescent="0.35">
      <c r="I883" s="7"/>
      <c r="P883" s="7"/>
    </row>
    <row r="884" spans="9:16" x14ac:dyDescent="0.35">
      <c r="I884" s="7"/>
      <c r="P884" s="7"/>
    </row>
    <row r="885" spans="9:16" x14ac:dyDescent="0.35">
      <c r="I885" s="7"/>
      <c r="P885" s="7"/>
    </row>
    <row r="886" spans="9:16" x14ac:dyDescent="0.35">
      <c r="I886" s="7"/>
      <c r="P886" s="7"/>
    </row>
    <row r="887" spans="9:16" x14ac:dyDescent="0.35">
      <c r="I887" s="7"/>
      <c r="P887" s="7"/>
    </row>
    <row r="888" spans="9:16" x14ac:dyDescent="0.35">
      <c r="I888" s="7"/>
      <c r="P888" s="7"/>
    </row>
    <row r="889" spans="9:16" x14ac:dyDescent="0.35">
      <c r="I889" s="7"/>
      <c r="P889" s="7"/>
    </row>
    <row r="890" spans="9:16" x14ac:dyDescent="0.35">
      <c r="I890" s="7"/>
      <c r="P890" s="7"/>
    </row>
    <row r="891" spans="9:16" x14ac:dyDescent="0.35">
      <c r="I891" s="7"/>
      <c r="P891" s="7"/>
    </row>
    <row r="892" spans="9:16" x14ac:dyDescent="0.35">
      <c r="I892" s="7"/>
      <c r="P892" s="7"/>
    </row>
    <row r="893" spans="9:16" x14ac:dyDescent="0.35">
      <c r="I893" s="7"/>
      <c r="P893" s="7"/>
    </row>
    <row r="894" spans="9:16" x14ac:dyDescent="0.35">
      <c r="I894" s="7"/>
      <c r="P894" s="7"/>
    </row>
    <row r="895" spans="9:16" x14ac:dyDescent="0.35">
      <c r="I895" s="7"/>
      <c r="P895" s="7"/>
    </row>
    <row r="896" spans="9:16" x14ac:dyDescent="0.35">
      <c r="I896" s="7"/>
      <c r="P896" s="7"/>
    </row>
    <row r="897" spans="9:16" x14ac:dyDescent="0.35">
      <c r="I897" s="7"/>
      <c r="P897" s="7"/>
    </row>
    <row r="898" spans="9:16" x14ac:dyDescent="0.35">
      <c r="I898" s="7"/>
      <c r="P898" s="7"/>
    </row>
    <row r="899" spans="9:16" x14ac:dyDescent="0.35">
      <c r="I899" s="7"/>
      <c r="P899" s="7"/>
    </row>
    <row r="900" spans="9:16" x14ac:dyDescent="0.35">
      <c r="I900" s="7"/>
      <c r="P900" s="7"/>
    </row>
    <row r="901" spans="9:16" x14ac:dyDescent="0.35">
      <c r="I901" s="7"/>
      <c r="P901" s="7"/>
    </row>
    <row r="902" spans="9:16" x14ac:dyDescent="0.35">
      <c r="I902" s="7"/>
      <c r="P902" s="7"/>
    </row>
    <row r="903" spans="9:16" x14ac:dyDescent="0.35">
      <c r="I903" s="7"/>
      <c r="P903" s="7"/>
    </row>
    <row r="904" spans="9:16" x14ac:dyDescent="0.35">
      <c r="I904" s="7"/>
      <c r="P904" s="7"/>
    </row>
    <row r="905" spans="9:16" x14ac:dyDescent="0.35">
      <c r="I905" s="7"/>
      <c r="P905" s="7"/>
    </row>
    <row r="906" spans="9:16" x14ac:dyDescent="0.35">
      <c r="I906" s="7"/>
      <c r="P906" s="7"/>
    </row>
    <row r="907" spans="9:16" x14ac:dyDescent="0.35">
      <c r="I907" s="7"/>
      <c r="P907" s="7"/>
    </row>
    <row r="908" spans="9:16" x14ac:dyDescent="0.35">
      <c r="I908" s="7"/>
      <c r="P908" s="7"/>
    </row>
    <row r="909" spans="9:16" x14ac:dyDescent="0.35">
      <c r="I909" s="7"/>
      <c r="P909" s="7"/>
    </row>
    <row r="910" spans="9:16" x14ac:dyDescent="0.35">
      <c r="I910" s="7"/>
      <c r="P910" s="7"/>
    </row>
    <row r="911" spans="9:16" x14ac:dyDescent="0.35">
      <c r="I911" s="7"/>
      <c r="P911" s="7"/>
    </row>
    <row r="912" spans="9:16" x14ac:dyDescent="0.35">
      <c r="I912" s="7"/>
      <c r="P912" s="7"/>
    </row>
    <row r="913" spans="9:16" x14ac:dyDescent="0.35">
      <c r="I913" s="7"/>
      <c r="P913" s="7"/>
    </row>
    <row r="914" spans="9:16" x14ac:dyDescent="0.35">
      <c r="I914" s="7"/>
      <c r="P914" s="7"/>
    </row>
    <row r="915" spans="9:16" x14ac:dyDescent="0.35">
      <c r="I915" s="7"/>
      <c r="P915" s="7"/>
    </row>
    <row r="916" spans="9:16" x14ac:dyDescent="0.35">
      <c r="I916" s="7"/>
      <c r="P916" s="7"/>
    </row>
    <row r="917" spans="9:16" x14ac:dyDescent="0.35">
      <c r="I917" s="7"/>
      <c r="P917" s="7"/>
    </row>
    <row r="918" spans="9:16" x14ac:dyDescent="0.35">
      <c r="I918" s="7"/>
      <c r="P918" s="7"/>
    </row>
    <row r="919" spans="9:16" x14ac:dyDescent="0.35">
      <c r="I919" s="7"/>
      <c r="P919" s="7"/>
    </row>
    <row r="920" spans="9:16" x14ac:dyDescent="0.35">
      <c r="I920" s="7"/>
      <c r="P920" s="7"/>
    </row>
    <row r="921" spans="9:16" x14ac:dyDescent="0.35">
      <c r="I921" s="7"/>
      <c r="P921" s="7"/>
    </row>
    <row r="922" spans="9:16" x14ac:dyDescent="0.35">
      <c r="I922" s="7"/>
      <c r="P922" s="7"/>
    </row>
    <row r="923" spans="9:16" x14ac:dyDescent="0.35">
      <c r="I923" s="7"/>
      <c r="P923" s="7"/>
    </row>
    <row r="924" spans="9:16" x14ac:dyDescent="0.35">
      <c r="I924" s="7"/>
      <c r="P924" s="7"/>
    </row>
    <row r="925" spans="9:16" x14ac:dyDescent="0.35">
      <c r="I925" s="7"/>
      <c r="P925" s="7"/>
    </row>
    <row r="926" spans="9:16" x14ac:dyDescent="0.35">
      <c r="I926" s="7"/>
      <c r="P926" s="7"/>
    </row>
    <row r="927" spans="9:16" x14ac:dyDescent="0.35">
      <c r="I927" s="7"/>
      <c r="P927" s="7"/>
    </row>
    <row r="928" spans="9:16" x14ac:dyDescent="0.35">
      <c r="I928" s="7"/>
      <c r="P928" s="7"/>
    </row>
    <row r="929" spans="9:16" x14ac:dyDescent="0.35">
      <c r="I929" s="7"/>
      <c r="P929" s="7"/>
    </row>
    <row r="930" spans="9:16" x14ac:dyDescent="0.35">
      <c r="I930" s="7"/>
      <c r="P930" s="7"/>
    </row>
    <row r="931" spans="9:16" x14ac:dyDescent="0.35">
      <c r="I931" s="7"/>
      <c r="P931" s="7"/>
    </row>
    <row r="932" spans="9:16" x14ac:dyDescent="0.35">
      <c r="I932" s="7"/>
      <c r="P932" s="7"/>
    </row>
    <row r="933" spans="9:16" x14ac:dyDescent="0.35">
      <c r="I933" s="7"/>
      <c r="P933" s="7"/>
    </row>
    <row r="934" spans="9:16" x14ac:dyDescent="0.35">
      <c r="I934" s="7"/>
      <c r="P934" s="7"/>
    </row>
    <row r="935" spans="9:16" x14ac:dyDescent="0.35">
      <c r="I935" s="7"/>
      <c r="P935" s="7"/>
    </row>
    <row r="936" spans="9:16" x14ac:dyDescent="0.35">
      <c r="I936" s="7"/>
      <c r="P936" s="7"/>
    </row>
    <row r="937" spans="9:16" x14ac:dyDescent="0.35">
      <c r="I937" s="7"/>
      <c r="P937" s="7"/>
    </row>
    <row r="938" spans="9:16" x14ac:dyDescent="0.35">
      <c r="I938" s="7"/>
      <c r="P938" s="7"/>
    </row>
    <row r="939" spans="9:16" x14ac:dyDescent="0.35">
      <c r="I939" s="7"/>
      <c r="P939" s="7"/>
    </row>
    <row r="940" spans="9:16" x14ac:dyDescent="0.35">
      <c r="I940" s="7"/>
      <c r="P940" s="7"/>
    </row>
    <row r="941" spans="9:16" x14ac:dyDescent="0.35">
      <c r="I941" s="7"/>
      <c r="P941" s="7"/>
    </row>
    <row r="942" spans="9:16" x14ac:dyDescent="0.35">
      <c r="I942" s="7"/>
      <c r="P942" s="7"/>
    </row>
    <row r="943" spans="9:16" x14ac:dyDescent="0.35">
      <c r="I943" s="7"/>
      <c r="P943" s="7"/>
    </row>
    <row r="944" spans="9:16" x14ac:dyDescent="0.35">
      <c r="I944" s="7"/>
      <c r="P944" s="7"/>
    </row>
    <row r="945" spans="9:16" x14ac:dyDescent="0.35">
      <c r="I945" s="7"/>
      <c r="P945" s="7"/>
    </row>
    <row r="946" spans="9:16" x14ac:dyDescent="0.35">
      <c r="I946" s="7"/>
      <c r="P946" s="7"/>
    </row>
    <row r="947" spans="9:16" x14ac:dyDescent="0.35">
      <c r="I947" s="7"/>
      <c r="P947" s="7"/>
    </row>
    <row r="948" spans="9:16" x14ac:dyDescent="0.35">
      <c r="I948" s="7"/>
      <c r="P948" s="7"/>
    </row>
    <row r="949" spans="9:16" x14ac:dyDescent="0.35">
      <c r="I949" s="7"/>
      <c r="P949" s="7"/>
    </row>
    <row r="950" spans="9:16" x14ac:dyDescent="0.35">
      <c r="I950" s="7"/>
      <c r="P950" s="7"/>
    </row>
    <row r="951" spans="9:16" x14ac:dyDescent="0.35">
      <c r="I951" s="7"/>
      <c r="P951" s="7"/>
    </row>
    <row r="952" spans="9:16" x14ac:dyDescent="0.35">
      <c r="I952" s="7"/>
      <c r="P952" s="7"/>
    </row>
    <row r="953" spans="9:16" x14ac:dyDescent="0.35">
      <c r="I953" s="7"/>
      <c r="P953" s="7"/>
    </row>
    <row r="954" spans="9:16" x14ac:dyDescent="0.35">
      <c r="I954" s="7"/>
      <c r="P954" s="7"/>
    </row>
    <row r="955" spans="9:16" x14ac:dyDescent="0.35">
      <c r="I955" s="7"/>
      <c r="P955" s="7"/>
    </row>
    <row r="956" spans="9:16" x14ac:dyDescent="0.35">
      <c r="I956" s="7"/>
      <c r="P956" s="7"/>
    </row>
    <row r="957" spans="9:16" x14ac:dyDescent="0.35">
      <c r="I957" s="7"/>
      <c r="P957" s="7"/>
    </row>
    <row r="958" spans="9:16" x14ac:dyDescent="0.35">
      <c r="I958" s="7"/>
      <c r="P958" s="7"/>
    </row>
    <row r="959" spans="9:16" x14ac:dyDescent="0.35">
      <c r="I959" s="7"/>
      <c r="P959" s="7"/>
    </row>
    <row r="960" spans="9:16" x14ac:dyDescent="0.35">
      <c r="I960" s="7"/>
      <c r="P960" s="7"/>
    </row>
    <row r="961" spans="9:16" x14ac:dyDescent="0.35">
      <c r="I961" s="7"/>
      <c r="P961" s="7"/>
    </row>
    <row r="962" spans="9:16" x14ac:dyDescent="0.35">
      <c r="I962" s="7"/>
      <c r="P962" s="7"/>
    </row>
    <row r="963" spans="9:16" x14ac:dyDescent="0.35">
      <c r="I963" s="7"/>
      <c r="P963" s="7"/>
    </row>
    <row r="964" spans="9:16" x14ac:dyDescent="0.35">
      <c r="I964" s="7"/>
      <c r="P964" s="7"/>
    </row>
    <row r="965" spans="9:16" x14ac:dyDescent="0.35">
      <c r="I965" s="7"/>
      <c r="P965" s="7"/>
    </row>
    <row r="966" spans="9:16" x14ac:dyDescent="0.35">
      <c r="I966" s="7"/>
      <c r="P966" s="7"/>
    </row>
    <row r="967" spans="9:16" x14ac:dyDescent="0.35">
      <c r="I967" s="7"/>
      <c r="P967" s="7"/>
    </row>
    <row r="968" spans="9:16" x14ac:dyDescent="0.35">
      <c r="I968" s="7"/>
      <c r="P968" s="7"/>
    </row>
    <row r="969" spans="9:16" x14ac:dyDescent="0.35">
      <c r="I969" s="7"/>
      <c r="P969" s="7"/>
    </row>
    <row r="970" spans="9:16" x14ac:dyDescent="0.35">
      <c r="I970" s="7"/>
      <c r="P970" s="7"/>
    </row>
    <row r="971" spans="9:16" x14ac:dyDescent="0.35">
      <c r="I971" s="7"/>
      <c r="P971" s="7"/>
    </row>
    <row r="972" spans="9:16" x14ac:dyDescent="0.35">
      <c r="I972" s="7"/>
      <c r="P972" s="7"/>
    </row>
    <row r="973" spans="9:16" x14ac:dyDescent="0.35">
      <c r="I973" s="7"/>
      <c r="P973" s="7"/>
    </row>
    <row r="974" spans="9:16" x14ac:dyDescent="0.35">
      <c r="I974" s="7"/>
      <c r="P974" s="7"/>
    </row>
    <row r="975" spans="9:16" x14ac:dyDescent="0.35">
      <c r="I975" s="7"/>
      <c r="P975" s="7"/>
    </row>
    <row r="976" spans="9:16" x14ac:dyDescent="0.35">
      <c r="I976" s="7"/>
      <c r="P976" s="7"/>
    </row>
    <row r="977" spans="9:16" x14ac:dyDescent="0.35">
      <c r="I977" s="7"/>
      <c r="P977" s="7"/>
    </row>
    <row r="978" spans="9:16" x14ac:dyDescent="0.35">
      <c r="I978" s="7"/>
      <c r="P978" s="7"/>
    </row>
    <row r="979" spans="9:16" x14ac:dyDescent="0.35">
      <c r="I979" s="7"/>
      <c r="P979" s="7"/>
    </row>
    <row r="980" spans="9:16" x14ac:dyDescent="0.35">
      <c r="I980" s="7"/>
      <c r="P980" s="7"/>
    </row>
    <row r="981" spans="9:16" x14ac:dyDescent="0.35">
      <c r="I981" s="7"/>
      <c r="P981" s="7"/>
    </row>
    <row r="982" spans="9:16" x14ac:dyDescent="0.35">
      <c r="I982" s="7"/>
      <c r="P982" s="7"/>
    </row>
    <row r="983" spans="9:16" x14ac:dyDescent="0.35">
      <c r="I983" s="7"/>
      <c r="P983" s="7"/>
    </row>
    <row r="984" spans="9:16" x14ac:dyDescent="0.35">
      <c r="I984" s="7"/>
      <c r="P984" s="7"/>
    </row>
    <row r="985" spans="9:16" x14ac:dyDescent="0.35">
      <c r="I985" s="7"/>
      <c r="P985" s="7"/>
    </row>
    <row r="986" spans="9:16" x14ac:dyDescent="0.35">
      <c r="I986" s="7"/>
      <c r="P986" s="7"/>
    </row>
    <row r="987" spans="9:16" x14ac:dyDescent="0.35">
      <c r="I987" s="7"/>
      <c r="P987" s="7"/>
    </row>
    <row r="988" spans="9:16" x14ac:dyDescent="0.35">
      <c r="I988" s="7"/>
      <c r="P988" s="7"/>
    </row>
    <row r="989" spans="9:16" x14ac:dyDescent="0.35">
      <c r="I989" s="7"/>
      <c r="P989" s="7"/>
    </row>
    <row r="990" spans="9:16" x14ac:dyDescent="0.35">
      <c r="I990" s="7"/>
      <c r="P990" s="7"/>
    </row>
    <row r="991" spans="9:16" x14ac:dyDescent="0.35">
      <c r="I991" s="7"/>
      <c r="P991" s="7"/>
    </row>
    <row r="992" spans="9:16" x14ac:dyDescent="0.35">
      <c r="I992" s="7"/>
      <c r="P992" s="7"/>
    </row>
    <row r="993" spans="9:16" x14ac:dyDescent="0.35">
      <c r="I993" s="7"/>
      <c r="P993" s="7"/>
    </row>
    <row r="994" spans="9:16" x14ac:dyDescent="0.35">
      <c r="I994" s="7"/>
      <c r="P994" s="7"/>
    </row>
    <row r="995" spans="9:16" x14ac:dyDescent="0.35">
      <c r="I995" s="7"/>
      <c r="P995" s="7"/>
    </row>
    <row r="996" spans="9:16" x14ac:dyDescent="0.35">
      <c r="I996" s="7"/>
      <c r="P996" s="7"/>
    </row>
    <row r="997" spans="9:16" x14ac:dyDescent="0.35">
      <c r="I997" s="7"/>
      <c r="P997" s="7"/>
    </row>
    <row r="998" spans="9:16" x14ac:dyDescent="0.35">
      <c r="I998" s="7"/>
      <c r="P998" s="7"/>
    </row>
    <row r="999" spans="9:16" x14ac:dyDescent="0.35">
      <c r="I999" s="7"/>
      <c r="P999" s="7"/>
    </row>
    <row r="1000" spans="9:16" x14ac:dyDescent="0.35">
      <c r="I1000" s="7"/>
      <c r="P1000" s="7"/>
    </row>
    <row r="1001" spans="9:16" x14ac:dyDescent="0.35">
      <c r="I1001" s="7"/>
      <c r="P1001" s="7"/>
    </row>
    <row r="1002" spans="9:16" x14ac:dyDescent="0.35">
      <c r="I1002" s="7"/>
      <c r="P1002" s="7"/>
    </row>
    <row r="1003" spans="9:16" x14ac:dyDescent="0.35">
      <c r="I1003" s="7"/>
      <c r="P1003" s="7"/>
    </row>
    <row r="1004" spans="9:16" x14ac:dyDescent="0.35">
      <c r="I1004" s="7"/>
      <c r="P1004" s="7"/>
    </row>
    <row r="1005" spans="9:16" x14ac:dyDescent="0.35">
      <c r="I1005" s="7"/>
      <c r="P1005" s="7"/>
    </row>
    <row r="1006" spans="9:16" x14ac:dyDescent="0.35">
      <c r="I1006" s="7"/>
      <c r="P1006" s="7"/>
    </row>
    <row r="1007" spans="9:16" x14ac:dyDescent="0.35">
      <c r="I1007" s="7"/>
      <c r="P1007" s="7"/>
    </row>
    <row r="1008" spans="9:16" x14ac:dyDescent="0.35">
      <c r="I1008" s="7"/>
      <c r="P1008" s="7"/>
    </row>
    <row r="1009" spans="9:16" x14ac:dyDescent="0.35">
      <c r="I1009" s="7"/>
      <c r="P1009" s="7"/>
    </row>
    <row r="1010" spans="9:16" x14ac:dyDescent="0.35">
      <c r="I1010" s="7"/>
      <c r="P1010" s="7"/>
    </row>
    <row r="1011" spans="9:16" x14ac:dyDescent="0.35">
      <c r="I1011" s="7"/>
      <c r="P1011" s="7"/>
    </row>
    <row r="1012" spans="9:16" x14ac:dyDescent="0.35">
      <c r="I1012" s="7"/>
      <c r="P1012" s="7"/>
    </row>
    <row r="1013" spans="9:16" x14ac:dyDescent="0.35">
      <c r="I1013" s="7"/>
      <c r="P1013" s="7"/>
    </row>
    <row r="1014" spans="9:16" x14ac:dyDescent="0.35">
      <c r="I1014" s="7"/>
      <c r="P1014" s="7"/>
    </row>
    <row r="1015" spans="9:16" x14ac:dyDescent="0.35">
      <c r="I1015" s="7"/>
      <c r="P1015" s="7"/>
    </row>
    <row r="1016" spans="9:16" x14ac:dyDescent="0.35">
      <c r="I1016" s="7"/>
      <c r="P1016" s="7"/>
    </row>
    <row r="1017" spans="9:16" x14ac:dyDescent="0.35">
      <c r="I1017" s="7"/>
      <c r="P1017" s="7"/>
    </row>
    <row r="1018" spans="9:16" x14ac:dyDescent="0.35">
      <c r="I1018" s="7"/>
      <c r="P1018" s="7"/>
    </row>
    <row r="1019" spans="9:16" x14ac:dyDescent="0.35">
      <c r="I1019" s="7"/>
      <c r="P1019" s="7"/>
    </row>
    <row r="1020" spans="9:16" x14ac:dyDescent="0.35">
      <c r="I1020" s="7"/>
      <c r="P1020" s="7"/>
    </row>
    <row r="1021" spans="9:16" x14ac:dyDescent="0.35">
      <c r="I1021" s="7"/>
      <c r="P1021" s="7"/>
    </row>
    <row r="1022" spans="9:16" x14ac:dyDescent="0.35">
      <c r="I1022" s="7"/>
      <c r="P1022" s="7"/>
    </row>
    <row r="1023" spans="9:16" x14ac:dyDescent="0.35">
      <c r="I1023" s="7"/>
      <c r="P1023" s="7"/>
    </row>
    <row r="1024" spans="9:16" x14ac:dyDescent="0.35">
      <c r="I1024" s="7"/>
      <c r="P1024" s="7"/>
    </row>
    <row r="1025" spans="9:16" x14ac:dyDescent="0.35">
      <c r="I1025" s="7"/>
      <c r="P1025" s="7"/>
    </row>
    <row r="1026" spans="9:16" x14ac:dyDescent="0.35">
      <c r="I1026" s="7"/>
      <c r="P1026" s="7"/>
    </row>
    <row r="1027" spans="9:16" x14ac:dyDescent="0.35">
      <c r="I1027" s="7"/>
      <c r="P1027" s="7"/>
    </row>
    <row r="1028" spans="9:16" x14ac:dyDescent="0.35">
      <c r="I1028" s="7"/>
      <c r="P1028" s="7"/>
    </row>
    <row r="1029" spans="9:16" x14ac:dyDescent="0.35">
      <c r="I1029" s="7"/>
      <c r="P1029" s="7"/>
    </row>
    <row r="1030" spans="9:16" x14ac:dyDescent="0.35">
      <c r="I1030" s="7"/>
      <c r="P1030" s="7"/>
    </row>
    <row r="1031" spans="9:16" x14ac:dyDescent="0.35">
      <c r="I1031" s="7"/>
      <c r="P1031" s="7"/>
    </row>
  </sheetData>
  <sheetProtection algorithmName="SHA-512" hashValue="5hKu16CuE7spfjkniadc4nrVFhLbBFQe5YRA8+mkEaSD7G3bbDbYtJYVk0KbM8dsso4QguFe2dZPyYYP0yTNJg==" saltValue="R3CtoX5U8C13tQFFUrDS9A==" spinCount="100000" sheet="1" objects="1" scenarios="1"/>
  <mergeCells count="8">
    <mergeCell ref="AD3:AD31"/>
    <mergeCell ref="AM3:AM31"/>
    <mergeCell ref="AM2:AU2"/>
    <mergeCell ref="B2:Z2"/>
    <mergeCell ref="A3:A31"/>
    <mergeCell ref="H3:H31"/>
    <mergeCell ref="O3:O31"/>
    <mergeCell ref="V3:V31"/>
  </mergeCells>
  <pageMargins left="0.7" right="0.7" top="0.75" bottom="0.75" header="0.511811023622047" footer="0.511811023622047"/>
  <pageSetup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1F6E4C"/>
  </sheetPr>
  <dimension ref="A2:AL1031"/>
  <sheetViews>
    <sheetView showGridLines="0" topLeftCell="H13" zoomScale="89" zoomScaleNormal="89" workbookViewId="0">
      <selection activeCell="I22" sqref="A22:XFD31"/>
    </sheetView>
  </sheetViews>
  <sheetFormatPr defaultColWidth="8.54296875" defaultRowHeight="14.5" x14ac:dyDescent="0.35"/>
  <cols>
    <col min="1" max="1" width="0" hidden="1" customWidth="1"/>
    <col min="2" max="2" width="9.1796875" style="7" hidden="1" customWidth="1"/>
    <col min="3" max="3" width="0" hidden="1" customWidth="1"/>
    <col min="4" max="4" width="9.54296875" hidden="1" customWidth="1"/>
    <col min="5" max="7" width="0" hidden="1" customWidth="1"/>
    <col min="31" max="34" width="0" hidden="1" customWidth="1"/>
  </cols>
  <sheetData>
    <row r="2" spans="1:38" ht="19" customHeight="1" x14ac:dyDescent="0.35">
      <c r="B2" s="81" t="s">
        <v>17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D2" s="81" t="s">
        <v>680</v>
      </c>
      <c r="AE2" s="81"/>
      <c r="AF2" s="81"/>
      <c r="AG2" s="81"/>
      <c r="AH2" s="81"/>
      <c r="AI2" s="81"/>
      <c r="AJ2" s="81"/>
      <c r="AK2" s="81"/>
      <c r="AL2" s="81"/>
    </row>
    <row r="3" spans="1:38" ht="19" customHeight="1" x14ac:dyDescent="0.35">
      <c r="A3" s="80" t="s">
        <v>189</v>
      </c>
      <c r="B3" s="11"/>
      <c r="C3" s="11" t="s">
        <v>190</v>
      </c>
      <c r="D3" s="11" t="s">
        <v>126</v>
      </c>
      <c r="E3" s="11" t="s">
        <v>128</v>
      </c>
      <c r="F3" s="11"/>
      <c r="G3" s="11"/>
      <c r="H3" s="80" t="s">
        <v>191</v>
      </c>
      <c r="I3" s="11"/>
      <c r="J3" s="11" t="s">
        <v>190</v>
      </c>
      <c r="K3" s="11" t="s">
        <v>126</v>
      </c>
      <c r="L3" s="11" t="s">
        <v>128</v>
      </c>
      <c r="M3" s="11"/>
      <c r="N3" s="11"/>
      <c r="O3" s="80" t="s">
        <v>192</v>
      </c>
      <c r="P3" s="11"/>
      <c r="Q3" s="11" t="s">
        <v>190</v>
      </c>
      <c r="R3" s="11" t="s">
        <v>126</v>
      </c>
      <c r="S3" s="11" t="s">
        <v>128</v>
      </c>
      <c r="T3" s="11"/>
      <c r="U3" s="11"/>
      <c r="V3" s="80" t="s">
        <v>193</v>
      </c>
      <c r="W3" s="11"/>
      <c r="X3" s="11" t="s">
        <v>190</v>
      </c>
      <c r="Y3" s="11" t="s">
        <v>126</v>
      </c>
      <c r="Z3" s="11" t="s">
        <v>128</v>
      </c>
      <c r="AD3" s="80" t="s">
        <v>193</v>
      </c>
      <c r="AE3" s="11"/>
      <c r="AF3" s="11" t="s">
        <v>190</v>
      </c>
      <c r="AG3" s="11" t="s">
        <v>126</v>
      </c>
      <c r="AH3" s="11" t="s">
        <v>128</v>
      </c>
      <c r="AI3" s="11"/>
      <c r="AJ3" s="11" t="s">
        <v>190</v>
      </c>
      <c r="AK3" s="11" t="s">
        <v>126</v>
      </c>
      <c r="AL3" s="11" t="s">
        <v>128</v>
      </c>
    </row>
    <row r="4" spans="1:38" ht="15" customHeight="1" x14ac:dyDescent="0.35">
      <c r="A4" s="80"/>
      <c r="B4" s="17">
        <v>2023</v>
      </c>
      <c r="C4" s="44">
        <v>0.26</v>
      </c>
      <c r="D4" s="44">
        <v>0.32</v>
      </c>
      <c r="E4" s="44">
        <v>5.0000000000000001E-3</v>
      </c>
      <c r="F4" s="38"/>
      <c r="G4" s="38"/>
      <c r="H4" s="80"/>
      <c r="I4" s="17">
        <v>2023</v>
      </c>
      <c r="J4" s="44">
        <v>0.26</v>
      </c>
      <c r="K4" s="44">
        <v>0.32300000000000001</v>
      </c>
      <c r="L4" s="44">
        <v>4.1999999999999997E-3</v>
      </c>
      <c r="M4" s="38"/>
      <c r="N4" s="38"/>
      <c r="O4" s="80"/>
      <c r="P4" s="17">
        <v>2023</v>
      </c>
      <c r="Q4" s="44">
        <v>0.26</v>
      </c>
      <c r="R4" s="44">
        <v>0.32300000000000001</v>
      </c>
      <c r="S4" s="44">
        <v>4.1999999999999997E-3</v>
      </c>
      <c r="T4" s="38"/>
      <c r="U4" s="38"/>
      <c r="V4" s="80"/>
      <c r="W4" s="17">
        <v>2024</v>
      </c>
      <c r="X4" s="21">
        <f>'SEI Scenario LIT'!BK7</f>
        <v>0.24150972411031985</v>
      </c>
      <c r="Y4" s="21">
        <f>'SEI Scenario LIT'!EB7</f>
        <v>0.31211167475359625</v>
      </c>
      <c r="Z4" s="21">
        <f>'SEI Scenario LIT'!AH7</f>
        <v>4.1856917715965376E-3</v>
      </c>
      <c r="AD4" s="80"/>
      <c r="AE4" s="17">
        <v>2024</v>
      </c>
      <c r="AF4" s="21">
        <f>(1-'SEI Scenario LIT'!BM7)</f>
        <v>1</v>
      </c>
      <c r="AG4" s="21">
        <f>(1-'SEI Scenario LIT'!ED7)</f>
        <v>1</v>
      </c>
      <c r="AH4" s="21">
        <f>(1-'SEI Scenario LIT'!AJ7)</f>
        <v>1.0001181149963274</v>
      </c>
      <c r="AI4" s="17">
        <v>2024</v>
      </c>
      <c r="AJ4" s="21">
        <f>('SEI Scenario LIT'!BM8)</f>
        <v>5.4973662594293505E-3</v>
      </c>
      <c r="AK4" s="21">
        <f>('SEI Scenario LIT'!ED8)</f>
        <v>2.7074356764240875E-3</v>
      </c>
      <c r="AL4" s="21">
        <f>('SEI Scenario LIT'!AJ8)</f>
        <v>8.0875511757398794E-3</v>
      </c>
    </row>
    <row r="5" spans="1:38" ht="15" customHeight="1" x14ac:dyDescent="0.35">
      <c r="A5" s="80"/>
      <c r="B5" s="17">
        <v>2024</v>
      </c>
      <c r="C5" s="21">
        <f t="shared" ref="C5:C10" si="0">C4+($C$11-$C$4)/($B$11-$B$4)</f>
        <v>0.28000000000000003</v>
      </c>
      <c r="D5" s="21">
        <f t="shared" ref="D5:D10" si="1">D4+($D$11-$D$4)/($B$11-$B$4)</f>
        <v>0.31285714285714289</v>
      </c>
      <c r="E5" s="21">
        <f>E4+($E$11-$E$4)/($B$11-$B$4)</f>
        <v>4.2857142857142859E-3</v>
      </c>
      <c r="H5" s="80"/>
      <c r="I5" s="17">
        <v>2024</v>
      </c>
      <c r="J5" s="21">
        <f t="shared" ref="J5:J20" si="2">J4+($J$21-$J$4)/($B$21-$B$4)</f>
        <v>0.27764705882352941</v>
      </c>
      <c r="K5" s="44">
        <v>0.311</v>
      </c>
      <c r="L5" s="44">
        <v>4.8999999999999998E-3</v>
      </c>
      <c r="O5" s="80"/>
      <c r="P5" s="17">
        <v>2024</v>
      </c>
      <c r="Q5" s="21">
        <f>Q4+($J$21-$J$4)/($B$21-$B$4)</f>
        <v>0.27764705882352941</v>
      </c>
      <c r="R5" s="44">
        <v>0.311</v>
      </c>
      <c r="S5" s="44">
        <v>4.8999999999999998E-3</v>
      </c>
      <c r="V5" s="80"/>
      <c r="W5" s="17">
        <v>2025</v>
      </c>
      <c r="X5" s="21">
        <f>'SEI Scenario LIT'!BK9</f>
        <v>0.24930994266590575</v>
      </c>
      <c r="Y5" s="21">
        <f>'SEI Scenario LIT'!EB9</f>
        <v>0.31719680352152407</v>
      </c>
      <c r="Z5" s="21">
        <f>'SEI Scenario LIT'!AH9</f>
        <v>1.1566074770767589E-2</v>
      </c>
      <c r="AD5" s="80"/>
      <c r="AE5" s="17">
        <v>2025</v>
      </c>
      <c r="AF5" s="21">
        <f>(1-'SEI Scenario LIT'!BM9)</f>
        <v>0.99262352415784061</v>
      </c>
      <c r="AG5" s="21">
        <f>(1-'SEI Scenario LIT'!ED9)</f>
        <v>0.99636710873555356</v>
      </c>
      <c r="AH5" s="21">
        <f>(1-'SEI Scenario LIT'!AJ9)</f>
        <v>0.98910758824030909</v>
      </c>
      <c r="AI5" s="17">
        <v>2025</v>
      </c>
      <c r="AJ5" s="21">
        <f>('SEI Scenario LIT'!BM9)</f>
        <v>7.376475842159445E-3</v>
      </c>
      <c r="AK5" s="21">
        <f>('SEI Scenario LIT'!ED9)</f>
        <v>3.6328912644463971E-3</v>
      </c>
      <c r="AL5" s="21">
        <f>('SEI Scenario LIT'!AJ9)</f>
        <v>1.0892411759690962E-2</v>
      </c>
    </row>
    <row r="6" spans="1:38" ht="15" customHeight="1" x14ac:dyDescent="0.35">
      <c r="A6" s="80"/>
      <c r="B6" s="17">
        <v>2025</v>
      </c>
      <c r="C6" s="21">
        <f t="shared" si="0"/>
        <v>0.30000000000000004</v>
      </c>
      <c r="D6" s="21">
        <f t="shared" si="1"/>
        <v>0.30571428571428577</v>
      </c>
      <c r="E6" s="21">
        <f>E5+($C$11-$C$4)/($B$11-$B$4)</f>
        <v>2.4285714285714285E-2</v>
      </c>
      <c r="H6" s="80"/>
      <c r="I6" s="17">
        <v>2025</v>
      </c>
      <c r="J6" s="21">
        <f t="shared" si="2"/>
        <v>0.29529411764705882</v>
      </c>
      <c r="K6" s="21">
        <f t="shared" ref="K6:K20" si="3">K5+($K$21-$K$5)/($B$21-$B$5)</f>
        <v>0.32156249999999997</v>
      </c>
      <c r="L6" s="21">
        <f t="shared" ref="L6:L20" si="4">L5+($L$21-$L$5)/($B$21-$B$5)</f>
        <v>2.3343749999999996E-2</v>
      </c>
      <c r="O6" s="80"/>
      <c r="P6" s="17">
        <v>2025</v>
      </c>
      <c r="Q6" s="21">
        <f t="shared" ref="Q6:Q30" si="5">Q5+($Q$31-$Q$4)/($B$31-$B$4)</f>
        <v>0.28635076252723313</v>
      </c>
      <c r="R6" s="21">
        <f t="shared" ref="R6:R30" si="6">R5+($R$31-$R$5)/($B$31-$B$5)</f>
        <v>0.31826923076923075</v>
      </c>
      <c r="S6" s="21">
        <f t="shared" ref="S6:S30" si="7">S5+($S$31-$S$5)/($B$31-$B$5)</f>
        <v>1.9134615384615382E-2</v>
      </c>
      <c r="V6" s="80"/>
      <c r="W6" s="17">
        <v>2026</v>
      </c>
      <c r="X6" s="21">
        <f>'SEI Scenario LIT'!BK10</f>
        <v>0.25198133786959381</v>
      </c>
      <c r="Y6" s="21">
        <f>'SEI Scenario LIT'!EB10</f>
        <v>0.31892956996885846</v>
      </c>
      <c r="Z6" s="21">
        <f>'SEI Scenario LIT'!AH10</f>
        <v>1.4106165751666556E-2</v>
      </c>
      <c r="AD6" s="80"/>
      <c r="AE6" s="17">
        <v>2026</v>
      </c>
      <c r="AF6" s="21">
        <f>(1-'SEI Scenario LIT'!BM10)</f>
        <v>0.99012220508145365</v>
      </c>
      <c r="AG6" s="21">
        <f>(1-'SEI Scenario LIT'!ED10)</f>
        <v>0.99513521691937445</v>
      </c>
      <c r="AH6" s="21">
        <f>(1-'SEI Scenario LIT'!AJ10)</f>
        <v>0.98537398411752619</v>
      </c>
      <c r="AI6" s="17">
        <v>2026</v>
      </c>
      <c r="AJ6" s="21">
        <f>('SEI Scenario LIT'!BM10)</f>
        <v>9.8777949185462951E-3</v>
      </c>
      <c r="AK6" s="21">
        <f>('SEI Scenario LIT'!ED10)</f>
        <v>4.864783080625555E-3</v>
      </c>
      <c r="AL6" s="21">
        <f>('SEI Scenario LIT'!AJ10)</f>
        <v>1.4626015882473777E-2</v>
      </c>
    </row>
    <row r="7" spans="1:38" ht="15" customHeight="1" x14ac:dyDescent="0.35">
      <c r="A7" s="80"/>
      <c r="B7" s="17">
        <v>2026</v>
      </c>
      <c r="C7" s="21">
        <f t="shared" si="0"/>
        <v>0.32000000000000006</v>
      </c>
      <c r="D7" s="21">
        <f t="shared" si="1"/>
        <v>0.29857142857142865</v>
      </c>
      <c r="E7" s="21">
        <f>E6+($C$11-$C$4)/($B$11-$B$4)</f>
        <v>4.4285714285714289E-2</v>
      </c>
      <c r="H7" s="80"/>
      <c r="I7" s="17">
        <v>2026</v>
      </c>
      <c r="J7" s="21">
        <f t="shared" si="2"/>
        <v>0.31294117647058822</v>
      </c>
      <c r="K7" s="21">
        <f t="shared" si="3"/>
        <v>0.33212499999999995</v>
      </c>
      <c r="L7" s="21">
        <f t="shared" si="4"/>
        <v>4.1787499999999991E-2</v>
      </c>
      <c r="O7" s="80"/>
      <c r="P7" s="17">
        <v>2026</v>
      </c>
      <c r="Q7" s="21">
        <f t="shared" si="5"/>
        <v>0.29505446623093684</v>
      </c>
      <c r="R7" s="21">
        <f t="shared" si="6"/>
        <v>0.3255384615384615</v>
      </c>
      <c r="S7" s="21">
        <f t="shared" si="7"/>
        <v>3.3369230769230762E-2</v>
      </c>
      <c r="V7" s="80"/>
      <c r="W7" s="17">
        <v>2027</v>
      </c>
      <c r="X7" s="21">
        <f>'SEI Scenario LIT'!BK11</f>
        <v>0.25554134500383963</v>
      </c>
      <c r="Y7" s="21">
        <f>'SEI Scenario LIT'!EB11</f>
        <v>0.32123181289365915</v>
      </c>
      <c r="Z7" s="21">
        <f>'SEI Scenario LIT'!AH11</f>
        <v>1.7501153997506784E-2</v>
      </c>
      <c r="AD7" s="80"/>
      <c r="AE7" s="17">
        <v>2027</v>
      </c>
      <c r="AF7" s="21">
        <f>(1-'SEI Scenario LIT'!BM11)</f>
        <v>0.98680837614765748</v>
      </c>
      <c r="AG7" s="21">
        <f>(1-'SEI Scenario LIT'!ED11)</f>
        <v>0.99350316654151616</v>
      </c>
      <c r="AH7" s="21">
        <f>(1-'SEI Scenario LIT'!AJ11)</f>
        <v>0.98042758384168016</v>
      </c>
      <c r="AI7" s="17">
        <v>2027</v>
      </c>
      <c r="AJ7" s="21">
        <f>('SEI Scenario LIT'!BM11)</f>
        <v>1.3191623852342559E-2</v>
      </c>
      <c r="AK7" s="21">
        <f>('SEI Scenario LIT'!ED11)</f>
        <v>6.4968334584838867E-3</v>
      </c>
      <c r="AL7" s="21">
        <f>('SEI Scenario LIT'!AJ11)</f>
        <v>1.9572416158319832E-2</v>
      </c>
    </row>
    <row r="8" spans="1:38" ht="15" customHeight="1" x14ac:dyDescent="0.35">
      <c r="A8" s="80"/>
      <c r="B8" s="17">
        <v>2027</v>
      </c>
      <c r="C8" s="21">
        <f t="shared" si="0"/>
        <v>0.34000000000000008</v>
      </c>
      <c r="D8" s="21">
        <f t="shared" si="1"/>
        <v>0.29142857142857154</v>
      </c>
      <c r="E8" s="21">
        <f>E7+($C$11-$C$4)/($B$11-$B$4)</f>
        <v>6.4285714285714293E-2</v>
      </c>
      <c r="H8" s="80"/>
      <c r="I8" s="17">
        <v>2027</v>
      </c>
      <c r="J8" s="21">
        <f t="shared" si="2"/>
        <v>0.33058823529411763</v>
      </c>
      <c r="K8" s="21">
        <f t="shared" si="3"/>
        <v>0.34268749999999992</v>
      </c>
      <c r="L8" s="21">
        <f t="shared" si="4"/>
        <v>6.0231249999999986E-2</v>
      </c>
      <c r="O8" s="80"/>
      <c r="P8" s="17">
        <v>2027</v>
      </c>
      <c r="Q8" s="21">
        <f t="shared" si="5"/>
        <v>0.30375816993464055</v>
      </c>
      <c r="R8" s="21">
        <f t="shared" si="6"/>
        <v>0.33280769230769225</v>
      </c>
      <c r="S8" s="21">
        <f t="shared" si="7"/>
        <v>4.7603846153846149E-2</v>
      </c>
      <c r="V8" s="80"/>
      <c r="W8" s="17">
        <v>2028</v>
      </c>
      <c r="X8" s="21">
        <f>'SEI Scenario LIT'!BK12</f>
        <v>0.2602649156114783</v>
      </c>
      <c r="Y8" s="21">
        <f>'SEI Scenario LIT'!EB12</f>
        <v>0.32427440332501506</v>
      </c>
      <c r="Z8" s="21">
        <f>'SEI Scenario LIT'!AH12</f>
        <v>2.2023433205455349E-2</v>
      </c>
      <c r="AD8" s="80"/>
      <c r="AE8" s="17">
        <v>2028</v>
      </c>
      <c r="AF8" s="21">
        <f>(1-'SEI Scenario LIT'!BM12)</f>
        <v>0.98244553588855854</v>
      </c>
      <c r="AG8" s="21">
        <f>(1-'SEI Scenario LIT'!ED12)</f>
        <v>0.9913544813692734</v>
      </c>
      <c r="AH8" s="21">
        <f>(1-'SEI Scenario LIT'!AJ12)</f>
        <v>0.97391537253198013</v>
      </c>
      <c r="AI8" s="17">
        <v>2028</v>
      </c>
      <c r="AJ8" s="21">
        <f>('SEI Scenario LIT'!BM12)</f>
        <v>1.7554464111441487E-2</v>
      </c>
      <c r="AK8" s="21">
        <f>('SEI Scenario LIT'!ED12)</f>
        <v>8.6455186307265487E-3</v>
      </c>
      <c r="AL8" s="21">
        <f>('SEI Scenario LIT'!AJ12)</f>
        <v>2.6084627468019914E-2</v>
      </c>
    </row>
    <row r="9" spans="1:38" ht="15" customHeight="1" x14ac:dyDescent="0.35">
      <c r="A9" s="80"/>
      <c r="B9" s="17">
        <v>2028</v>
      </c>
      <c r="C9" s="21">
        <f t="shared" si="0"/>
        <v>0.3600000000000001</v>
      </c>
      <c r="D9" s="21">
        <f t="shared" si="1"/>
        <v>0.28428571428571442</v>
      </c>
      <c r="E9" s="21">
        <f>E8+($C$11-$C$4)/($B$11-$B$4)</f>
        <v>8.4285714285714297E-2</v>
      </c>
      <c r="H9" s="80"/>
      <c r="I9" s="17">
        <v>2028</v>
      </c>
      <c r="J9" s="21">
        <f t="shared" si="2"/>
        <v>0.34823529411764703</v>
      </c>
      <c r="K9" s="21">
        <f t="shared" si="3"/>
        <v>0.3532499999999999</v>
      </c>
      <c r="L9" s="21">
        <f t="shared" si="4"/>
        <v>7.8674999999999981E-2</v>
      </c>
      <c r="O9" s="80"/>
      <c r="P9" s="17">
        <v>2028</v>
      </c>
      <c r="Q9" s="21">
        <f t="shared" si="5"/>
        <v>0.31246187363834427</v>
      </c>
      <c r="R9" s="21">
        <f t="shared" si="6"/>
        <v>0.340076923076923</v>
      </c>
      <c r="S9" s="21">
        <f t="shared" si="7"/>
        <v>6.1838461538461537E-2</v>
      </c>
      <c r="V9" s="80"/>
      <c r="W9" s="17">
        <v>2029</v>
      </c>
      <c r="X9" s="21">
        <f>'SEI Scenario LIT'!BK13</f>
        <v>0.26649623171997161</v>
      </c>
      <c r="Y9" s="21">
        <f>'SEI Scenario LIT'!EB13</f>
        <v>0.32826717094990771</v>
      </c>
      <c r="Z9" s="21">
        <f>'SEI Scenario LIT'!AH13</f>
        <v>2.8020233514892891E-2</v>
      </c>
      <c r="AD9" s="80"/>
      <c r="AE9" s="17">
        <v>2029</v>
      </c>
      <c r="AF9" s="21">
        <f>(1-'SEI Scenario LIT'!BM13)</f>
        <v>0.97674876534199584</v>
      </c>
      <c r="AG9" s="21">
        <f>(1-'SEI Scenario LIT'!ED13)</f>
        <v>0.98854883970555651</v>
      </c>
      <c r="AH9" s="21">
        <f>(1-'SEI Scenario LIT'!AJ13)</f>
        <v>0.96541206473731078</v>
      </c>
      <c r="AI9" s="17">
        <v>2029</v>
      </c>
      <c r="AJ9" s="21">
        <f>('SEI Scenario LIT'!BM13)</f>
        <v>2.3251234658004154E-2</v>
      </c>
      <c r="AK9" s="21">
        <f>('SEI Scenario LIT'!ED13)</f>
        <v>1.1451160294443536E-2</v>
      </c>
      <c r="AL9" s="21">
        <f>('SEI Scenario LIT'!AJ13)</f>
        <v>3.4587935262689204E-2</v>
      </c>
    </row>
    <row r="10" spans="1:38" ht="15" customHeight="1" x14ac:dyDescent="0.35">
      <c r="A10" s="80"/>
      <c r="B10" s="17">
        <v>2029</v>
      </c>
      <c r="C10" s="21">
        <f t="shared" si="0"/>
        <v>0.38000000000000012</v>
      </c>
      <c r="D10" s="21">
        <f t="shared" si="1"/>
        <v>0.2771428571428573</v>
      </c>
      <c r="E10" s="21">
        <f>E9+($C$11-$C$4)/($B$11-$B$4)</f>
        <v>0.1042857142857143</v>
      </c>
      <c r="H10" s="80"/>
      <c r="I10" s="17">
        <v>2029</v>
      </c>
      <c r="J10" s="21">
        <f t="shared" si="2"/>
        <v>0.36588235294117644</v>
      </c>
      <c r="K10" s="21">
        <f t="shared" si="3"/>
        <v>0.36381249999999987</v>
      </c>
      <c r="L10" s="21">
        <f t="shared" si="4"/>
        <v>9.7118749999999976E-2</v>
      </c>
      <c r="O10" s="80"/>
      <c r="P10" s="17">
        <v>2029</v>
      </c>
      <c r="Q10" s="21">
        <f t="shared" si="5"/>
        <v>0.32116557734204798</v>
      </c>
      <c r="R10" s="21">
        <f t="shared" si="6"/>
        <v>0.34734615384615375</v>
      </c>
      <c r="S10" s="21">
        <f t="shared" si="7"/>
        <v>7.6073076923076924E-2</v>
      </c>
      <c r="V10" s="80"/>
      <c r="W10" s="17">
        <v>2030</v>
      </c>
      <c r="X10" s="21">
        <f>'SEI Scenario LIT'!BK14</f>
        <v>0.27465417705778244</v>
      </c>
      <c r="Y10" s="21">
        <f>'SEI Scenario LIT'!EB14</f>
        <v>0.3334586486827455</v>
      </c>
      <c r="Z10" s="21">
        <f>'SEI Scenario LIT'!AH14</f>
        <v>3.5924994917504526E-2</v>
      </c>
      <c r="AD10" s="80"/>
      <c r="AE10" s="17">
        <v>2030</v>
      </c>
      <c r="AF10" s="21">
        <f>(1-'SEI Scenario LIT'!BM14)</f>
        <v>0.96938975056130139</v>
      </c>
      <c r="AG10" s="21">
        <f>(1-'SEI Scenario LIT'!ED14)</f>
        <v>0.9849245479592299</v>
      </c>
      <c r="AH10" s="21">
        <f>(1-'SEI Scenario LIT'!AJ14)</f>
        <v>0.95442760130591553</v>
      </c>
      <c r="AI10" s="17">
        <v>2030</v>
      </c>
      <c r="AJ10" s="21">
        <f>('SEI Scenario LIT'!BM14)</f>
        <v>3.0610249438698653E-2</v>
      </c>
      <c r="AK10" s="21">
        <f>('SEI Scenario LIT'!ED14)</f>
        <v>1.5075452040770083E-2</v>
      </c>
      <c r="AL10" s="21">
        <f>('SEI Scenario LIT'!AJ14)</f>
        <v>4.5572398694084498E-2</v>
      </c>
    </row>
    <row r="11" spans="1:38" ht="15" customHeight="1" x14ac:dyDescent="0.35">
      <c r="A11" s="80"/>
      <c r="B11" s="50">
        <v>2030</v>
      </c>
      <c r="C11" s="51">
        <v>0.4</v>
      </c>
      <c r="D11" s="51">
        <v>0.27</v>
      </c>
      <c r="E11" s="52"/>
      <c r="H11" s="80"/>
      <c r="I11" s="17">
        <v>2030</v>
      </c>
      <c r="J11" s="21">
        <f t="shared" si="2"/>
        <v>0.38352941176470584</v>
      </c>
      <c r="K11" s="21">
        <f t="shared" si="3"/>
        <v>0.37437499999999985</v>
      </c>
      <c r="L11" s="21">
        <f t="shared" si="4"/>
        <v>0.11556249999999997</v>
      </c>
      <c r="O11" s="80"/>
      <c r="P11" s="17">
        <v>2030</v>
      </c>
      <c r="Q11" s="21">
        <f t="shared" si="5"/>
        <v>0.32986928104575169</v>
      </c>
      <c r="R11" s="21">
        <f t="shared" si="6"/>
        <v>0.3546153846153845</v>
      </c>
      <c r="S11" s="21">
        <f t="shared" si="7"/>
        <v>9.0307692307692311E-2</v>
      </c>
      <c r="V11" s="80"/>
      <c r="W11" s="17">
        <v>2031</v>
      </c>
      <c r="X11" s="21">
        <f>'SEI Scenario LIT'!BK15</f>
        <v>0.28522857423696413</v>
      </c>
      <c r="Y11" s="21">
        <f>'SEI Scenario LIT'!EB15</f>
        <v>0.34012820004058336</v>
      </c>
      <c r="Z11" s="21">
        <f>'SEI Scenario LIT'!AH15</f>
        <v>4.6263152196490312E-2</v>
      </c>
      <c r="AD11" s="80"/>
      <c r="AE11" s="17">
        <v>2031</v>
      </c>
      <c r="AF11" s="21">
        <f>(1-'SEI Scenario LIT'!BM15)</f>
        <v>0.96001436015840724</v>
      </c>
      <c r="AG11" s="21">
        <f>(1-'SEI Scenario LIT'!ED15)</f>
        <v>0.98030719753007411</v>
      </c>
      <c r="AH11" s="21">
        <f>(1-'SEI Scenario LIT'!AJ15)</f>
        <v>0.94043338657681774</v>
      </c>
      <c r="AI11" s="17">
        <v>2031</v>
      </c>
      <c r="AJ11" s="21">
        <f>('SEI Scenario LIT'!BM15)</f>
        <v>3.9985639841592722E-2</v>
      </c>
      <c r="AK11" s="21">
        <f>('SEI Scenario LIT'!ED15)</f>
        <v>1.9692802469925878E-2</v>
      </c>
      <c r="AL11" s="21">
        <f>('SEI Scenario LIT'!AJ15)</f>
        <v>5.956661342318223E-2</v>
      </c>
    </row>
    <row r="12" spans="1:38" ht="15" customHeight="1" x14ac:dyDescent="0.35">
      <c r="A12" s="80"/>
      <c r="B12" s="17">
        <v>2031</v>
      </c>
      <c r="C12" s="21">
        <f t="shared" ref="C12:C30" si="8">C11+($C$31-$C$11)/($B$31-$B$11)</f>
        <v>0.40500000000000003</v>
      </c>
      <c r="D12" s="21">
        <f t="shared" ref="D12:D30" si="9">D11+($D$31-$D$11)/($B$31-$B$11)</f>
        <v>0.25650000000000001</v>
      </c>
      <c r="E12" s="21">
        <f t="shared" ref="E12:E30" si="10">E11+($E$31-$E$11)/($B$31-$B$11)</f>
        <v>0</v>
      </c>
      <c r="H12" s="80"/>
      <c r="I12" s="17">
        <v>2031</v>
      </c>
      <c r="J12" s="21">
        <f t="shared" si="2"/>
        <v>0.40117647058823525</v>
      </c>
      <c r="K12" s="21">
        <f t="shared" si="3"/>
        <v>0.38493749999999982</v>
      </c>
      <c r="L12" s="21">
        <f t="shared" si="4"/>
        <v>0.13400624999999997</v>
      </c>
      <c r="O12" s="80"/>
      <c r="P12" s="17">
        <v>2031</v>
      </c>
      <c r="Q12" s="21">
        <f t="shared" si="5"/>
        <v>0.33857298474945541</v>
      </c>
      <c r="R12" s="21">
        <f t="shared" si="6"/>
        <v>0.36188461538461525</v>
      </c>
      <c r="S12" s="21">
        <f t="shared" si="7"/>
        <v>0.1045423076923077</v>
      </c>
      <c r="V12" s="80"/>
      <c r="W12" s="17">
        <v>2032</v>
      </c>
      <c r="X12" s="21">
        <f>'SEI Scenario LIT'!BK16</f>
        <v>0.298759610091474</v>
      </c>
      <c r="Y12" s="21">
        <f>'SEI Scenario LIT'!EB16</f>
        <v>0.34856579260087506</v>
      </c>
      <c r="Z12" s="21">
        <f>'SEI Scenario LIT'!AH16</f>
        <v>5.9645640270515936E-2</v>
      </c>
      <c r="AD12" s="80"/>
      <c r="AE12" s="17">
        <v>2032</v>
      </c>
      <c r="AF12" s="21">
        <f>(1-'SEI Scenario LIT'!BM16)</f>
        <v>0.94827883786695433</v>
      </c>
      <c r="AG12" s="21">
        <f>(1-'SEI Scenario LIT'!ED16)</f>
        <v>0.97452748953283963</v>
      </c>
      <c r="AH12" s="21">
        <f>(1-'SEI Scenario LIT'!AJ16)</f>
        <v>0.92291631135678132</v>
      </c>
      <c r="AI12" s="17">
        <v>2032</v>
      </c>
      <c r="AJ12" s="21">
        <f>('SEI Scenario LIT'!BM16)</f>
        <v>5.1721162133045645E-2</v>
      </c>
      <c r="AK12" s="21">
        <f>('SEI Scenario LIT'!ED16)</f>
        <v>2.5472510467160335E-2</v>
      </c>
      <c r="AL12" s="21">
        <f>('SEI Scenario LIT'!AJ16)</f>
        <v>7.7083688643218684E-2</v>
      </c>
    </row>
    <row r="13" spans="1:38" ht="15" customHeight="1" x14ac:dyDescent="0.35">
      <c r="A13" s="80"/>
      <c r="B13" s="17">
        <v>2032</v>
      </c>
      <c r="C13" s="21">
        <f t="shared" si="8"/>
        <v>0.41000000000000003</v>
      </c>
      <c r="D13" s="21">
        <f t="shared" si="9"/>
        <v>0.24299999999999999</v>
      </c>
      <c r="E13" s="21">
        <f t="shared" si="10"/>
        <v>0</v>
      </c>
      <c r="H13" s="80"/>
      <c r="I13" s="17">
        <v>2032</v>
      </c>
      <c r="J13" s="21">
        <f t="shared" si="2"/>
        <v>0.41882352941176465</v>
      </c>
      <c r="K13" s="21">
        <f t="shared" si="3"/>
        <v>0.3954999999999998</v>
      </c>
      <c r="L13" s="21">
        <f t="shared" si="4"/>
        <v>0.15244999999999997</v>
      </c>
      <c r="O13" s="80"/>
      <c r="P13" s="17">
        <v>2032</v>
      </c>
      <c r="Q13" s="21">
        <f t="shared" si="5"/>
        <v>0.34727668845315912</v>
      </c>
      <c r="R13" s="21">
        <f t="shared" si="6"/>
        <v>0.369153846153846</v>
      </c>
      <c r="S13" s="21">
        <f t="shared" si="7"/>
        <v>0.11877692307692309</v>
      </c>
      <c r="V13" s="80"/>
      <c r="W13" s="17">
        <v>2033</v>
      </c>
      <c r="X13" s="21">
        <f>'SEI Scenario LIT'!BK17</f>
        <v>0.31579116448656747</v>
      </c>
      <c r="Y13" s="21">
        <f>'SEI Scenario LIT'!EB17</f>
        <v>0.3590347179989431</v>
      </c>
      <c r="Z13" s="21">
        <f>'SEI Scenario LIT'!AH17</f>
        <v>7.6740482349094377E-2</v>
      </c>
      <c r="AD13" s="80"/>
      <c r="AE13" s="17">
        <v>2033</v>
      </c>
      <c r="AF13" s="21">
        <f>(1-'SEI Scenario LIT'!BM17)</f>
        <v>0.93390897956760854</v>
      </c>
      <c r="AG13" s="21">
        <f>(1-'SEI Scenario LIT'!ED17)</f>
        <v>0.96745037929699251</v>
      </c>
      <c r="AH13" s="21">
        <f>(1-'SEI Scenario LIT'!AJ17)</f>
        <v>0.90146708374854523</v>
      </c>
      <c r="AI13" s="17">
        <v>2033</v>
      </c>
      <c r="AJ13" s="21">
        <f>('SEI Scenario LIT'!BM17)</f>
        <v>6.6091020432391512E-2</v>
      </c>
      <c r="AK13" s="21">
        <f>('SEI Scenario LIT'!ED17)</f>
        <v>3.2549620703007529E-2</v>
      </c>
      <c r="AL13" s="21">
        <f>('SEI Scenario LIT'!AJ17)</f>
        <v>9.8532916251454813E-2</v>
      </c>
    </row>
    <row r="14" spans="1:38" ht="15" customHeight="1" x14ac:dyDescent="0.35">
      <c r="A14" s="80"/>
      <c r="B14" s="17">
        <v>2033</v>
      </c>
      <c r="C14" s="21">
        <f t="shared" si="8"/>
        <v>0.41500000000000004</v>
      </c>
      <c r="D14" s="21">
        <f t="shared" si="9"/>
        <v>0.22949999999999998</v>
      </c>
      <c r="E14" s="21">
        <f t="shared" si="10"/>
        <v>0</v>
      </c>
      <c r="H14" s="80"/>
      <c r="I14" s="17">
        <v>2033</v>
      </c>
      <c r="J14" s="21">
        <f t="shared" si="2"/>
        <v>0.43647058823529405</v>
      </c>
      <c r="K14" s="21">
        <f t="shared" si="3"/>
        <v>0.40606249999999977</v>
      </c>
      <c r="L14" s="21">
        <f t="shared" si="4"/>
        <v>0.17089374999999998</v>
      </c>
      <c r="O14" s="80"/>
      <c r="P14" s="17">
        <v>2033</v>
      </c>
      <c r="Q14" s="21">
        <f t="shared" si="5"/>
        <v>0.35598039215686283</v>
      </c>
      <c r="R14" s="21">
        <f t="shared" si="6"/>
        <v>0.37642307692307675</v>
      </c>
      <c r="S14" s="21">
        <f t="shared" si="7"/>
        <v>0.13301153846153846</v>
      </c>
      <c r="V14" s="80"/>
      <c r="W14" s="17">
        <v>2034</v>
      </c>
      <c r="X14" s="21">
        <f>'SEI Scenario LIT'!BK18</f>
        <v>0.33678994477708735</v>
      </c>
      <c r="Y14" s="21">
        <f>'SEI Scenario LIT'!EB18</f>
        <v>0.37171532432501453</v>
      </c>
      <c r="Z14" s="21">
        <f>'SEI Scenario LIT'!AH18</f>
        <v>9.8210970341812462E-2</v>
      </c>
      <c r="AD14" s="80"/>
      <c r="AE14" s="17">
        <v>2034</v>
      </c>
      <c r="AF14" s="21">
        <f>(1-'SEI Scenario LIT'!BM18)</f>
        <v>0.91678039299746295</v>
      </c>
      <c r="AG14" s="21">
        <f>(1-'SEI Scenario LIT'!ED18)</f>
        <v>0.95901460402238925</v>
      </c>
      <c r="AH14" s="21">
        <f>(1-'SEI Scenario LIT'!AJ18)</f>
        <v>0.87590002913345888</v>
      </c>
      <c r="AI14" s="17">
        <v>2034</v>
      </c>
      <c r="AJ14" s="21">
        <f>('SEI Scenario LIT'!BM18)</f>
        <v>8.3219607002537041E-2</v>
      </c>
      <c r="AK14" s="21">
        <f>('SEI Scenario LIT'!ED18)</f>
        <v>4.0985395977610792E-2</v>
      </c>
      <c r="AL14" s="21">
        <f>('SEI Scenario LIT'!AJ18)</f>
        <v>0.12409997086654116</v>
      </c>
    </row>
    <row r="15" spans="1:38" ht="15" customHeight="1" x14ac:dyDescent="0.35">
      <c r="A15" s="80"/>
      <c r="B15" s="17">
        <v>2034</v>
      </c>
      <c r="C15" s="21">
        <f t="shared" si="8"/>
        <v>0.42000000000000004</v>
      </c>
      <c r="D15" s="21">
        <f t="shared" si="9"/>
        <v>0.21599999999999997</v>
      </c>
      <c r="E15" s="21">
        <f t="shared" si="10"/>
        <v>0</v>
      </c>
      <c r="H15" s="80"/>
      <c r="I15" s="17">
        <v>2034</v>
      </c>
      <c r="J15" s="21">
        <f t="shared" si="2"/>
        <v>0.45411764705882346</v>
      </c>
      <c r="K15" s="21">
        <f t="shared" si="3"/>
        <v>0.41662499999999975</v>
      </c>
      <c r="L15" s="21">
        <f t="shared" si="4"/>
        <v>0.18933749999999999</v>
      </c>
      <c r="O15" s="80"/>
      <c r="P15" s="17">
        <v>2034</v>
      </c>
      <c r="Q15" s="21">
        <f t="shared" si="5"/>
        <v>0.36468409586056655</v>
      </c>
      <c r="R15" s="21">
        <f t="shared" si="6"/>
        <v>0.3836923076923075</v>
      </c>
      <c r="S15" s="21">
        <f t="shared" si="7"/>
        <v>0.14724615384615383</v>
      </c>
      <c r="V15" s="80"/>
      <c r="W15" s="17">
        <v>2035</v>
      </c>
      <c r="X15" s="21">
        <f>'SEI Scenario LIT'!BK19</f>
        <v>0.36202964897408751</v>
      </c>
      <c r="Y15" s="21">
        <f>'SEI Scenario LIT'!EB19</f>
        <v>0.38663492899071666</v>
      </c>
      <c r="Z15" s="21">
        <f>'SEI Scenario LIT'!AH19</f>
        <v>0.12461106460199552</v>
      </c>
      <c r="AD15" s="80"/>
      <c r="AE15" s="17">
        <v>2035</v>
      </c>
      <c r="AF15" s="21">
        <f>(1-'SEI Scenario LIT'!BM19)</f>
        <v>0.89700602878180657</v>
      </c>
      <c r="AG15" s="21">
        <f>(1-'SEI Scenario LIT'!ED19)</f>
        <v>0.94927579153845798</v>
      </c>
      <c r="AH15" s="21">
        <f>(1-'SEI Scenario LIT'!AJ19)</f>
        <v>0.84638374372310898</v>
      </c>
      <c r="AI15" s="17">
        <v>2035</v>
      </c>
      <c r="AJ15" s="21">
        <f>('SEI Scenario LIT'!BM19)</f>
        <v>0.10299397121819344</v>
      </c>
      <c r="AK15" s="21">
        <f>('SEI Scenario LIT'!ED19)</f>
        <v>5.0724208461541992E-2</v>
      </c>
      <c r="AL15" s="21">
        <f>('SEI Scenario LIT'!AJ19)</f>
        <v>0.15361625627689102</v>
      </c>
    </row>
    <row r="16" spans="1:38" ht="15" customHeight="1" x14ac:dyDescent="0.35">
      <c r="A16" s="80"/>
      <c r="B16" s="17">
        <v>2035</v>
      </c>
      <c r="C16" s="21">
        <f t="shared" si="8"/>
        <v>0.42500000000000004</v>
      </c>
      <c r="D16" s="21">
        <f t="shared" si="9"/>
        <v>0.20249999999999996</v>
      </c>
      <c r="E16" s="21">
        <f t="shared" si="10"/>
        <v>0</v>
      </c>
      <c r="H16" s="80"/>
      <c r="I16" s="17">
        <v>2035</v>
      </c>
      <c r="J16" s="21">
        <f t="shared" si="2"/>
        <v>0.47176470588235286</v>
      </c>
      <c r="K16" s="21">
        <f t="shared" si="3"/>
        <v>0.42718749999999972</v>
      </c>
      <c r="L16" s="21">
        <f t="shared" si="4"/>
        <v>0.20778125</v>
      </c>
      <c r="O16" s="80"/>
      <c r="P16" s="17">
        <v>2035</v>
      </c>
      <c r="Q16" s="21">
        <f t="shared" si="5"/>
        <v>0.37338779956427026</v>
      </c>
      <c r="R16" s="21">
        <f t="shared" si="6"/>
        <v>0.39096153846153825</v>
      </c>
      <c r="S16" s="21">
        <f t="shared" si="7"/>
        <v>0.16148076923076921</v>
      </c>
      <c r="V16" s="80"/>
      <c r="W16" s="17">
        <v>2036</v>
      </c>
      <c r="X16" s="21">
        <f>'SEI Scenario LIT'!BK20</f>
        <v>0.39145536223710409</v>
      </c>
      <c r="Y16" s="21">
        <f>'SEI Scenario LIT'!EB20</f>
        <v>0.40360029321190172</v>
      </c>
      <c r="Z16" s="21">
        <f>'SEI Scenario LIT'!AH20</f>
        <v>0.15623877330340571</v>
      </c>
      <c r="AD16" s="80"/>
      <c r="AE16" s="17">
        <v>2036</v>
      </c>
      <c r="AF16" s="21">
        <f>(1-'SEI Scenario LIT'!BM20)</f>
        <v>0.87500265278816014</v>
      </c>
      <c r="AG16" s="21">
        <f>(1-'SEI Scenario LIT'!ED20)</f>
        <v>0.93843919773050632</v>
      </c>
      <c r="AH16" s="21">
        <f>(1-'SEI Scenario LIT'!AJ20)</f>
        <v>0.8135403147897271</v>
      </c>
      <c r="AI16" s="17">
        <v>2036</v>
      </c>
      <c r="AJ16" s="21">
        <f>('SEI Scenario LIT'!BM20)</f>
        <v>0.12499734721183982</v>
      </c>
      <c r="AK16" s="21">
        <f>('SEI Scenario LIT'!ED20)</f>
        <v>6.1560802269493696E-2</v>
      </c>
      <c r="AL16" s="21">
        <f>('SEI Scenario LIT'!AJ20)</f>
        <v>0.18645968521027295</v>
      </c>
    </row>
    <row r="17" spans="1:38" ht="15" customHeight="1" x14ac:dyDescent="0.35">
      <c r="A17" s="80"/>
      <c r="B17" s="17">
        <v>2036</v>
      </c>
      <c r="C17" s="21">
        <f t="shared" si="8"/>
        <v>0.43000000000000005</v>
      </c>
      <c r="D17" s="21">
        <f t="shared" si="9"/>
        <v>0.18899999999999995</v>
      </c>
      <c r="E17" s="21">
        <f t="shared" si="10"/>
        <v>0</v>
      </c>
      <c r="H17" s="80"/>
      <c r="I17" s="17">
        <v>2036</v>
      </c>
      <c r="J17" s="21">
        <f t="shared" si="2"/>
        <v>0.48941176470588227</v>
      </c>
      <c r="K17" s="21">
        <f t="shared" si="3"/>
        <v>0.43774999999999969</v>
      </c>
      <c r="L17" s="21">
        <f t="shared" si="4"/>
        <v>0.22622500000000001</v>
      </c>
      <c r="O17" s="80"/>
      <c r="P17" s="17">
        <v>2036</v>
      </c>
      <c r="Q17" s="21">
        <f t="shared" si="5"/>
        <v>0.38209150326797398</v>
      </c>
      <c r="R17" s="21">
        <f t="shared" si="6"/>
        <v>0.398230769230769</v>
      </c>
      <c r="S17" s="21">
        <f t="shared" si="7"/>
        <v>0.17571538461538458</v>
      </c>
      <c r="V17" s="80"/>
      <c r="W17" s="17">
        <v>2037</v>
      </c>
      <c r="X17" s="21">
        <f>'SEI Scenario LIT'!BK21</f>
        <v>0.42456570948150429</v>
      </c>
      <c r="Y17" s="21">
        <f>'SEI Scenario LIT'!EB21</f>
        <v>0.42215976142683198</v>
      </c>
      <c r="Z17" s="21">
        <f>'SEI Scenario LIT'!AH21</f>
        <v>0.19296914382079125</v>
      </c>
      <c r="AD17" s="80"/>
      <c r="AE17" s="17">
        <v>2037</v>
      </c>
      <c r="AF17" s="21">
        <f>(1-'SEI Scenario LIT'!BM21)</f>
        <v>0.85150008097153451</v>
      </c>
      <c r="AG17" s="21">
        <f>(1-'SEI Scenario LIT'!ED21)</f>
        <v>0.92686425467210853</v>
      </c>
      <c r="AH17" s="21">
        <f>(1-'SEI Scenario LIT'!AJ21)</f>
        <v>0.77845910509563643</v>
      </c>
      <c r="AI17" s="17">
        <v>2037</v>
      </c>
      <c r="AJ17" s="21">
        <f>('SEI Scenario LIT'!BM21)</f>
        <v>0.14849991902846543</v>
      </c>
      <c r="AK17" s="21">
        <f>('SEI Scenario LIT'!ED21)</f>
        <v>7.313574532789148E-2</v>
      </c>
      <c r="AL17" s="21">
        <f>('SEI Scenario LIT'!AJ21)</f>
        <v>0.22154089490436354</v>
      </c>
    </row>
    <row r="18" spans="1:38" ht="15" customHeight="1" x14ac:dyDescent="0.35">
      <c r="A18" s="80"/>
      <c r="B18" s="17">
        <v>2037</v>
      </c>
      <c r="C18" s="21">
        <f t="shared" si="8"/>
        <v>0.43500000000000005</v>
      </c>
      <c r="D18" s="21">
        <f t="shared" si="9"/>
        <v>0.17549999999999993</v>
      </c>
      <c r="E18" s="21">
        <f t="shared" si="10"/>
        <v>0</v>
      </c>
      <c r="H18" s="80"/>
      <c r="I18" s="17">
        <v>2037</v>
      </c>
      <c r="J18" s="21">
        <f t="shared" si="2"/>
        <v>0.50705882352941167</v>
      </c>
      <c r="K18" s="21">
        <f t="shared" si="3"/>
        <v>0.44831249999999967</v>
      </c>
      <c r="L18" s="21">
        <f t="shared" si="4"/>
        <v>0.24466875000000002</v>
      </c>
      <c r="O18" s="80"/>
      <c r="P18" s="17">
        <v>2037</v>
      </c>
      <c r="Q18" s="21">
        <f t="shared" si="5"/>
        <v>0.39079520697167769</v>
      </c>
      <c r="R18" s="21">
        <f t="shared" si="6"/>
        <v>0.40549999999999975</v>
      </c>
      <c r="S18" s="21">
        <f t="shared" si="7"/>
        <v>0.18994999999999995</v>
      </c>
      <c r="V18" s="80"/>
      <c r="W18" s="17">
        <v>2038</v>
      </c>
      <c r="X18" s="21">
        <f>'SEI Scenario LIT'!BK22</f>
        <v>0.46036738058736565</v>
      </c>
      <c r="Y18" s="21">
        <f>'SEI Scenario LIT'!EB22</f>
        <v>0.44162314532739322</v>
      </c>
      <c r="Z18" s="21">
        <f>'SEI Scenario LIT'!AH22</f>
        <v>0.23411615019722784</v>
      </c>
      <c r="AD18" s="80"/>
      <c r="AE18" s="17">
        <v>2038</v>
      </c>
      <c r="AF18" s="21">
        <f>(1-'SEI Scenario LIT'!BM22)</f>
        <v>0.82746770903035149</v>
      </c>
      <c r="AG18" s="21">
        <f>(1-'SEI Scenario LIT'!ED22)</f>
        <v>0.91502838671060038</v>
      </c>
      <c r="AH18" s="21">
        <f>(1-'SEI Scenario LIT'!AJ22)</f>
        <v>0.74258708708445731</v>
      </c>
      <c r="AI18" s="17">
        <v>2038</v>
      </c>
      <c r="AJ18" s="21">
        <f>('SEI Scenario LIT'!BM22)</f>
        <v>0.17253229096964856</v>
      </c>
      <c r="AK18" s="21">
        <f>('SEI Scenario LIT'!ED22)</f>
        <v>8.4971613289399672E-2</v>
      </c>
      <c r="AL18" s="21">
        <f>('SEI Scenario LIT'!AJ22)</f>
        <v>0.25741291291554275</v>
      </c>
    </row>
    <row r="19" spans="1:38" ht="15" customHeight="1" x14ac:dyDescent="0.35">
      <c r="A19" s="80"/>
      <c r="B19" s="17">
        <v>2038</v>
      </c>
      <c r="C19" s="21">
        <f t="shared" si="8"/>
        <v>0.44000000000000006</v>
      </c>
      <c r="D19" s="21">
        <f t="shared" si="9"/>
        <v>0.16199999999999992</v>
      </c>
      <c r="E19" s="21">
        <f t="shared" si="10"/>
        <v>0</v>
      </c>
      <c r="H19" s="80"/>
      <c r="I19" s="17">
        <v>2038</v>
      </c>
      <c r="J19" s="21">
        <f t="shared" si="2"/>
        <v>0.52470588235294113</v>
      </c>
      <c r="K19" s="21">
        <f t="shared" si="3"/>
        <v>0.45887499999999964</v>
      </c>
      <c r="L19" s="21">
        <f t="shared" si="4"/>
        <v>0.26311250000000003</v>
      </c>
      <c r="O19" s="80"/>
      <c r="P19" s="17">
        <v>2038</v>
      </c>
      <c r="Q19" s="21">
        <f t="shared" si="5"/>
        <v>0.3994989106753814</v>
      </c>
      <c r="R19" s="21">
        <f t="shared" si="6"/>
        <v>0.4127692307692305</v>
      </c>
      <c r="S19" s="21">
        <f t="shared" si="7"/>
        <v>0.20418461538461533</v>
      </c>
      <c r="V19" s="80"/>
      <c r="W19" s="17">
        <v>2039</v>
      </c>
      <c r="X19" s="21">
        <f>'SEI Scenario LIT'!BK23</f>
        <v>0.49744992514051656</v>
      </c>
      <c r="Y19" s="21">
        <f>'SEI Scenario LIT'!EB23</f>
        <v>0.46115068174474105</v>
      </c>
      <c r="Z19" s="21">
        <f>'SEI Scenario LIT'!AH23</f>
        <v>0.27839157596128755</v>
      </c>
      <c r="AD19" s="80"/>
      <c r="AE19" s="17">
        <v>2039</v>
      </c>
      <c r="AF19" s="21">
        <f>(1-'SEI Scenario LIT'!BM23)</f>
        <v>0.80396513721372564</v>
      </c>
      <c r="AG19" s="21">
        <f>(1-'SEI Scenario LIT'!ED23)</f>
        <v>0.90345344365220248</v>
      </c>
      <c r="AH19" s="21">
        <f>(1-'SEI Scenario LIT'!AJ23)</f>
        <v>0.70750587739036641</v>
      </c>
      <c r="AI19" s="17">
        <v>2039</v>
      </c>
      <c r="AJ19" s="21">
        <f>('SEI Scenario LIT'!BM23)</f>
        <v>0.19603486278627436</v>
      </c>
      <c r="AK19" s="21">
        <f>('SEI Scenario LIT'!ED23)</f>
        <v>9.6546556347797532E-2</v>
      </c>
      <c r="AL19" s="21">
        <f>('SEI Scenario LIT'!AJ23)</f>
        <v>0.29249412260963364</v>
      </c>
    </row>
    <row r="20" spans="1:38" ht="15" customHeight="1" x14ac:dyDescent="0.35">
      <c r="A20" s="80"/>
      <c r="B20" s="17">
        <v>2039</v>
      </c>
      <c r="C20" s="21">
        <f t="shared" si="8"/>
        <v>0.44500000000000006</v>
      </c>
      <c r="D20" s="21">
        <f t="shared" si="9"/>
        <v>0.14849999999999991</v>
      </c>
      <c r="E20" s="21">
        <f t="shared" si="10"/>
        <v>0</v>
      </c>
      <c r="H20" s="80"/>
      <c r="I20" s="17">
        <v>2039</v>
      </c>
      <c r="J20" s="21">
        <f t="shared" si="2"/>
        <v>0.54235294117647059</v>
      </c>
      <c r="K20" s="21">
        <f t="shared" si="3"/>
        <v>0.46943749999999962</v>
      </c>
      <c r="L20" s="21">
        <f t="shared" si="4"/>
        <v>0.28155625000000001</v>
      </c>
      <c r="O20" s="80"/>
      <c r="P20" s="17">
        <v>2039</v>
      </c>
      <c r="Q20" s="21">
        <f t="shared" si="5"/>
        <v>0.40820261437908512</v>
      </c>
      <c r="R20" s="21">
        <f t="shared" si="6"/>
        <v>0.42003846153846125</v>
      </c>
      <c r="S20" s="21">
        <f t="shared" si="7"/>
        <v>0.2184192307692307</v>
      </c>
      <c r="V20" s="80"/>
      <c r="W20" s="17">
        <v>2040</v>
      </c>
      <c r="X20" s="21">
        <f>'SEI Scenario LIT'!BK24</f>
        <v>0.53418737426354512</v>
      </c>
      <c r="Y20" s="21">
        <f>'SEI Scenario LIT'!EB24</f>
        <v>0.47989160035583694</v>
      </c>
      <c r="Z20" s="21">
        <f>'SEI Scenario LIT'!AH24</f>
        <v>0.32401601446322298</v>
      </c>
      <c r="AD20" s="80"/>
      <c r="AE20" s="17">
        <v>2040</v>
      </c>
      <c r="AF20" s="21">
        <f>(1-'SEI Scenario LIT'!BM24)</f>
        <v>0.78196176122007932</v>
      </c>
      <c r="AG20" s="21">
        <f>(1-'SEI Scenario LIT'!ED24)</f>
        <v>0.89261684984425071</v>
      </c>
      <c r="AH20" s="21">
        <f>(1-'SEI Scenario LIT'!AJ24)</f>
        <v>0.67466244845698498</v>
      </c>
      <c r="AI20" s="17">
        <v>2040</v>
      </c>
      <c r="AJ20" s="21">
        <f>('SEI Scenario LIT'!BM24)</f>
        <v>0.21803823877992062</v>
      </c>
      <c r="AK20" s="21">
        <f>('SEI Scenario LIT'!ED24)</f>
        <v>0.10738315015574931</v>
      </c>
      <c r="AL20" s="21">
        <f>('SEI Scenario LIT'!AJ24)</f>
        <v>0.32533755154301508</v>
      </c>
    </row>
    <row r="21" spans="1:38" ht="15" customHeight="1" x14ac:dyDescent="0.35">
      <c r="A21" s="80"/>
      <c r="B21" s="17">
        <v>2040</v>
      </c>
      <c r="C21" s="21">
        <f t="shared" si="8"/>
        <v>0.45000000000000007</v>
      </c>
      <c r="D21" s="21">
        <f t="shared" si="9"/>
        <v>0.1349999999999999</v>
      </c>
      <c r="E21" s="21">
        <f t="shared" si="10"/>
        <v>0</v>
      </c>
      <c r="H21" s="80"/>
      <c r="I21" s="17">
        <v>2040</v>
      </c>
      <c r="J21" s="44">
        <v>0.56000000000000005</v>
      </c>
      <c r="K21" s="44">
        <v>0.48</v>
      </c>
      <c r="L21" s="44">
        <v>0.3</v>
      </c>
      <c r="O21" s="80"/>
      <c r="P21" s="17">
        <v>2040</v>
      </c>
      <c r="Q21" s="21">
        <f t="shared" si="5"/>
        <v>0.41690631808278883</v>
      </c>
      <c r="R21" s="21">
        <f t="shared" si="6"/>
        <v>0.427307692307692</v>
      </c>
      <c r="S21" s="21">
        <f t="shared" si="7"/>
        <v>0.23265384615384607</v>
      </c>
      <c r="V21" s="80"/>
      <c r="W21" s="17">
        <v>2041</v>
      </c>
      <c r="X21" s="21">
        <f>'SEI Scenario LIT'!BK25</f>
        <v>0.56901289827457036</v>
      </c>
      <c r="Y21" s="21">
        <f>'SEI Scenario LIT'!EB25</f>
        <v>0.49712651543135994</v>
      </c>
      <c r="Z21" s="21">
        <f>'SEI Scenario LIT'!AH25</f>
        <v>0.36898185074281337</v>
      </c>
      <c r="AD21" s="80"/>
      <c r="AE21" s="17">
        <v>2041</v>
      </c>
      <c r="AF21" s="21">
        <f>(1-'SEI Scenario LIT'!BM25)</f>
        <v>0.76218739700442306</v>
      </c>
      <c r="AG21" s="21">
        <f>(1-'SEI Scenario LIT'!ED25)</f>
        <v>0.88287803736031956</v>
      </c>
      <c r="AH21" s="21">
        <f>(1-'SEI Scenario LIT'!AJ25)</f>
        <v>0.64514616304663497</v>
      </c>
      <c r="AI21" s="17">
        <v>2041</v>
      </c>
      <c r="AJ21" s="21">
        <f>('SEI Scenario LIT'!BM25)</f>
        <v>0.23781260299557699</v>
      </c>
      <c r="AK21" s="21">
        <f>('SEI Scenario LIT'!ED25)</f>
        <v>0.11712196263968049</v>
      </c>
      <c r="AL21" s="21">
        <f>('SEI Scenario LIT'!AJ25)</f>
        <v>0.35485383695336503</v>
      </c>
    </row>
    <row r="22" spans="1:38" ht="15" hidden="1" customHeight="1" x14ac:dyDescent="0.35">
      <c r="A22" s="80"/>
      <c r="B22" s="17">
        <v>2041</v>
      </c>
      <c r="C22" s="21">
        <f t="shared" si="8"/>
        <v>0.45500000000000007</v>
      </c>
      <c r="D22" s="21">
        <f t="shared" si="9"/>
        <v>0.1214999999999999</v>
      </c>
      <c r="E22" s="21">
        <f t="shared" si="10"/>
        <v>0</v>
      </c>
      <c r="H22" s="80"/>
      <c r="I22" s="17">
        <v>2041</v>
      </c>
      <c r="J22" s="21">
        <f t="shared" ref="J22:J30" si="11">J21+($J$31-$J$21)/($B$31-$B$21)</f>
        <v>0.56400000000000006</v>
      </c>
      <c r="K22" s="21">
        <f t="shared" ref="K22:K30" si="12">K21+($K$31-$K$21)/($B$31-$B$21)</f>
        <v>0.49399999999999999</v>
      </c>
      <c r="L22" s="21">
        <f t="shared" ref="L22:L30" si="13">L21+($L$31-$L$21)/($B$31-$B$21)</f>
        <v>0.32999999999999996</v>
      </c>
      <c r="O22" s="80"/>
      <c r="P22" s="17">
        <v>2041</v>
      </c>
      <c r="Q22" s="21">
        <f t="shared" si="5"/>
        <v>0.42561002178649254</v>
      </c>
      <c r="R22" s="21">
        <f t="shared" si="6"/>
        <v>0.43457692307692275</v>
      </c>
      <c r="S22" s="21">
        <f t="shared" si="7"/>
        <v>0.24688846153846145</v>
      </c>
      <c r="V22" s="80"/>
      <c r="W22" s="17">
        <v>2042</v>
      </c>
      <c r="X22" s="21">
        <f>'SEI Scenario LIT'!BK26</f>
        <v>0.60067294994497622</v>
      </c>
      <c r="Y22" s="21">
        <f>'SEI Scenario LIT'!EB26</f>
        <v>0.51236571257764418</v>
      </c>
      <c r="Z22" s="21">
        <f>'SEI Scenario LIT'!AH26</f>
        <v>0.41139411372463469</v>
      </c>
      <c r="AD22" s="80"/>
      <c r="AE22" s="17">
        <v>2042</v>
      </c>
      <c r="AF22" s="21">
        <f>(1-'SEI Scenario LIT'!BM26)</f>
        <v>0.74505881043427735</v>
      </c>
      <c r="AG22" s="21">
        <f>(1-'SEI Scenario LIT'!ED26)</f>
        <v>0.87444226208571596</v>
      </c>
      <c r="AH22" s="21">
        <f>(1-'SEI Scenario LIT'!AJ26)</f>
        <v>0.6195791084315484</v>
      </c>
      <c r="AI22" s="17">
        <v>2042</v>
      </c>
      <c r="AJ22" s="21">
        <f>('SEI Scenario LIT'!BM26)</f>
        <v>0.25494118956572265</v>
      </c>
      <c r="AK22" s="21">
        <f>('SEI Scenario LIT'!ED26)</f>
        <v>0.12555773791428407</v>
      </c>
      <c r="AL22" s="21">
        <f>('SEI Scenario LIT'!AJ26)</f>
        <v>0.3804208915684516</v>
      </c>
    </row>
    <row r="23" spans="1:38" ht="15" hidden="1" customHeight="1" x14ac:dyDescent="0.35">
      <c r="A23" s="80"/>
      <c r="B23" s="17">
        <v>2042</v>
      </c>
      <c r="C23" s="21">
        <f t="shared" si="8"/>
        <v>0.46000000000000008</v>
      </c>
      <c r="D23" s="21">
        <f t="shared" si="9"/>
        <v>0.1079999999999999</v>
      </c>
      <c r="E23" s="21">
        <f t="shared" si="10"/>
        <v>0</v>
      </c>
      <c r="H23" s="80"/>
      <c r="I23" s="17">
        <v>2042</v>
      </c>
      <c r="J23" s="21">
        <f t="shared" si="11"/>
        <v>0.56800000000000006</v>
      </c>
      <c r="K23" s="21">
        <f t="shared" si="12"/>
        <v>0.50800000000000001</v>
      </c>
      <c r="L23" s="21">
        <f t="shared" si="13"/>
        <v>0.36</v>
      </c>
      <c r="O23" s="80"/>
      <c r="P23" s="17">
        <v>2042</v>
      </c>
      <c r="Q23" s="21">
        <f t="shared" si="5"/>
        <v>0.43431372549019626</v>
      </c>
      <c r="R23" s="21">
        <f t="shared" si="6"/>
        <v>0.4418461538461535</v>
      </c>
      <c r="S23" s="21">
        <f t="shared" si="7"/>
        <v>0.26112307692307685</v>
      </c>
      <c r="V23" s="80"/>
      <c r="W23" s="17">
        <v>2043</v>
      </c>
      <c r="X23" s="21">
        <f>'SEI Scenario LIT'!BK27</f>
        <v>0.62837882046457105</v>
      </c>
      <c r="Y23" s="21">
        <f>'SEI Scenario LIT'!EB27</f>
        <v>0.52537914286524368</v>
      </c>
      <c r="Z23" s="21">
        <f>'SEI Scenario LIT'!AH27</f>
        <v>0.44977235102668656</v>
      </c>
      <c r="AD23" s="80"/>
      <c r="AE23" s="17">
        <v>2043</v>
      </c>
      <c r="AF23" s="21">
        <f>(1-'SEI Scenario LIT'!BM27)</f>
        <v>0.7306889521349319</v>
      </c>
      <c r="AG23" s="21">
        <f>(1-'SEI Scenario LIT'!ED27)</f>
        <v>0.86736515184986906</v>
      </c>
      <c r="AH23" s="21">
        <f>(1-'SEI Scenario LIT'!AJ27)</f>
        <v>0.59812988082331242</v>
      </c>
      <c r="AI23" s="17">
        <v>2043</v>
      </c>
      <c r="AJ23" s="21">
        <f>('SEI Scenario LIT'!BM27)</f>
        <v>0.2693110478650681</v>
      </c>
      <c r="AK23" s="21">
        <f>('SEI Scenario LIT'!ED27)</f>
        <v>0.13263484815013099</v>
      </c>
      <c r="AL23" s="21">
        <f>('SEI Scenario LIT'!AJ27)</f>
        <v>0.40187011917668763</v>
      </c>
    </row>
    <row r="24" spans="1:38" ht="15" hidden="1" customHeight="1" x14ac:dyDescent="0.35">
      <c r="A24" s="80"/>
      <c r="B24" s="17">
        <v>2043</v>
      </c>
      <c r="C24" s="21">
        <f t="shared" si="8"/>
        <v>0.46500000000000008</v>
      </c>
      <c r="D24" s="21">
        <f t="shared" si="9"/>
        <v>9.4499999999999904E-2</v>
      </c>
      <c r="E24" s="21">
        <f t="shared" si="10"/>
        <v>0</v>
      </c>
      <c r="H24" s="80"/>
      <c r="I24" s="17">
        <v>2043</v>
      </c>
      <c r="J24" s="21">
        <f t="shared" si="11"/>
        <v>0.57200000000000006</v>
      </c>
      <c r="K24" s="21">
        <f t="shared" si="12"/>
        <v>0.52200000000000002</v>
      </c>
      <c r="L24" s="21">
        <f t="shared" si="13"/>
        <v>0.39</v>
      </c>
      <c r="O24" s="80"/>
      <c r="P24" s="17">
        <v>2043</v>
      </c>
      <c r="Q24" s="21">
        <f t="shared" si="5"/>
        <v>0.44301742919389997</v>
      </c>
      <c r="R24" s="21">
        <f t="shared" si="6"/>
        <v>0.44911538461538425</v>
      </c>
      <c r="S24" s="21">
        <f t="shared" si="7"/>
        <v>0.27535769230769225</v>
      </c>
      <c r="V24" s="80"/>
      <c r="W24" s="17">
        <v>2044</v>
      </c>
      <c r="X24" s="21">
        <f>'SEI Scenario LIT'!BK28</f>
        <v>0.65182712965873202</v>
      </c>
      <c r="Y24" s="21">
        <f>'SEI Scenario LIT'!EB28</f>
        <v>0.53616549298005667</v>
      </c>
      <c r="Z24" s="21">
        <f>'SEI Scenario LIT'!AH28</f>
        <v>0.48321842271255588</v>
      </c>
      <c r="AD24" s="80"/>
      <c r="AE24" s="17">
        <v>2044</v>
      </c>
      <c r="AF24" s="21">
        <f>(1-'SEI Scenario LIT'!BM28)</f>
        <v>0.71895342984347899</v>
      </c>
      <c r="AG24" s="21">
        <f>(1-'SEI Scenario LIT'!ED28)</f>
        <v>0.86158544385263425</v>
      </c>
      <c r="AH24" s="21">
        <f>(1-'SEI Scenario LIT'!AJ28)</f>
        <v>0.58061280560327599</v>
      </c>
      <c r="AI24" s="17">
        <v>2044</v>
      </c>
      <c r="AJ24" s="21">
        <f>('SEI Scenario LIT'!BM28)</f>
        <v>0.28104657015652107</v>
      </c>
      <c r="AK24" s="21">
        <f>('SEI Scenario LIT'!ED28)</f>
        <v>0.1384145561473657</v>
      </c>
      <c r="AL24" s="21">
        <f>('SEI Scenario LIT'!AJ28)</f>
        <v>0.41938719439672395</v>
      </c>
    </row>
    <row r="25" spans="1:38" ht="15" hidden="1" customHeight="1" x14ac:dyDescent="0.35">
      <c r="A25" s="80"/>
      <c r="B25" s="17">
        <v>2044</v>
      </c>
      <c r="C25" s="21">
        <f t="shared" si="8"/>
        <v>0.47000000000000008</v>
      </c>
      <c r="D25" s="21">
        <f t="shared" si="9"/>
        <v>8.0999999999999905E-2</v>
      </c>
      <c r="E25" s="21">
        <f t="shared" si="10"/>
        <v>0</v>
      </c>
      <c r="H25" s="80"/>
      <c r="I25" s="17">
        <v>2044</v>
      </c>
      <c r="J25" s="21">
        <f t="shared" si="11"/>
        <v>0.57600000000000007</v>
      </c>
      <c r="K25" s="21">
        <f t="shared" si="12"/>
        <v>0.53600000000000003</v>
      </c>
      <c r="L25" s="21">
        <f t="shared" si="13"/>
        <v>0.42000000000000004</v>
      </c>
      <c r="O25" s="80"/>
      <c r="P25" s="17">
        <v>2044</v>
      </c>
      <c r="Q25" s="21">
        <f t="shared" si="5"/>
        <v>0.45172113289760368</v>
      </c>
      <c r="R25" s="21">
        <f t="shared" si="6"/>
        <v>0.456384615384615</v>
      </c>
      <c r="S25" s="21">
        <f t="shared" si="7"/>
        <v>0.28959230769230765</v>
      </c>
      <c r="V25" s="80"/>
      <c r="W25" s="17">
        <v>2045</v>
      </c>
      <c r="X25" s="21">
        <f>'SEI Scenario LIT'!BK29</f>
        <v>0.67111706827192563</v>
      </c>
      <c r="Y25" s="21">
        <f>'SEI Scenario LIT'!EB29</f>
        <v>0.54488714527055837</v>
      </c>
      <c r="Z25" s="21">
        <f>'SEI Scenario LIT'!AH29</f>
        <v>0.51142411309003155</v>
      </c>
      <c r="AD25" s="80"/>
      <c r="AE25" s="17">
        <v>2045</v>
      </c>
      <c r="AF25" s="21">
        <f>(1-'SEI Scenario LIT'!BM29)</f>
        <v>0.70957803944058462</v>
      </c>
      <c r="AG25" s="21">
        <f>(1-'SEI Scenario LIT'!ED29)</f>
        <v>0.85696809342347879</v>
      </c>
      <c r="AH25" s="21">
        <f>(1-'SEI Scenario LIT'!AJ29)</f>
        <v>0.5666185908741781</v>
      </c>
      <c r="AI25" s="17">
        <v>2045</v>
      </c>
      <c r="AJ25" s="21">
        <f>('SEI Scenario LIT'!BM29)</f>
        <v>0.29042196055941544</v>
      </c>
      <c r="AK25" s="21">
        <f>('SEI Scenario LIT'!ED29)</f>
        <v>0.14303190657652118</v>
      </c>
      <c r="AL25" s="21">
        <f>('SEI Scenario LIT'!AJ29)</f>
        <v>0.43338140912582185</v>
      </c>
    </row>
    <row r="26" spans="1:38" ht="15" hidden="1" customHeight="1" x14ac:dyDescent="0.35">
      <c r="A26" s="80"/>
      <c r="B26" s="17">
        <v>2045</v>
      </c>
      <c r="C26" s="21">
        <f t="shared" si="8"/>
        <v>0.47500000000000009</v>
      </c>
      <c r="D26" s="21">
        <f t="shared" si="9"/>
        <v>6.7499999999999907E-2</v>
      </c>
      <c r="E26" s="21">
        <f t="shared" si="10"/>
        <v>0</v>
      </c>
      <c r="H26" s="80"/>
      <c r="I26" s="17">
        <v>2045</v>
      </c>
      <c r="J26" s="21">
        <f t="shared" si="11"/>
        <v>0.58000000000000007</v>
      </c>
      <c r="K26" s="21">
        <f t="shared" si="12"/>
        <v>0.55000000000000004</v>
      </c>
      <c r="L26" s="21">
        <f t="shared" si="13"/>
        <v>0.45000000000000007</v>
      </c>
      <c r="O26" s="80"/>
      <c r="P26" s="17">
        <v>2045</v>
      </c>
      <c r="Q26" s="21">
        <f t="shared" si="5"/>
        <v>0.4604248366013074</v>
      </c>
      <c r="R26" s="21">
        <f t="shared" si="6"/>
        <v>0.46365384615384575</v>
      </c>
      <c r="S26" s="21">
        <f t="shared" si="7"/>
        <v>0.30382692307692305</v>
      </c>
      <c r="V26" s="80"/>
      <c r="W26" s="17">
        <v>2046</v>
      </c>
      <c r="X26" s="21">
        <f>'SEI Scenario LIT'!BK30</f>
        <v>0.68661912522367008</v>
      </c>
      <c r="Y26" s="21">
        <f>'SEI Scenario LIT'!EB30</f>
        <v>0.55179913998204866</v>
      </c>
      <c r="Z26" s="21">
        <f>'SEI Scenario LIT'!AH30</f>
        <v>0.53455885962069971</v>
      </c>
      <c r="AD26" s="80"/>
      <c r="AE26" s="17">
        <v>2046</v>
      </c>
      <c r="AF26" s="21">
        <f>(1-'SEI Scenario LIT'!BM30)</f>
        <v>0.70221902465989017</v>
      </c>
      <c r="AG26" s="21">
        <f>(1-'SEI Scenario LIT'!ED30)</f>
        <v>0.85334380167715229</v>
      </c>
      <c r="AH26" s="21">
        <f>(1-'SEI Scenario LIT'!AJ30)</f>
        <v>0.55563412744278318</v>
      </c>
      <c r="AI26" s="17">
        <v>2046</v>
      </c>
      <c r="AJ26" s="21">
        <f>('SEI Scenario LIT'!BM30)</f>
        <v>0.29778097534010983</v>
      </c>
      <c r="AK26" s="21">
        <f>('SEI Scenario LIT'!ED30)</f>
        <v>0.14665619832284768</v>
      </c>
      <c r="AL26" s="21">
        <f>('SEI Scenario LIT'!AJ30)</f>
        <v>0.44436587255721682</v>
      </c>
    </row>
    <row r="27" spans="1:38" ht="15" hidden="1" customHeight="1" x14ac:dyDescent="0.35">
      <c r="A27" s="80"/>
      <c r="B27" s="17">
        <v>2046</v>
      </c>
      <c r="C27" s="21">
        <f t="shared" si="8"/>
        <v>0.48000000000000009</v>
      </c>
      <c r="D27" s="21">
        <f t="shared" si="9"/>
        <v>5.3999999999999909E-2</v>
      </c>
      <c r="E27" s="21">
        <f t="shared" si="10"/>
        <v>0</v>
      </c>
      <c r="H27" s="80"/>
      <c r="I27" s="17">
        <v>2046</v>
      </c>
      <c r="J27" s="21">
        <f t="shared" si="11"/>
        <v>0.58400000000000007</v>
      </c>
      <c r="K27" s="21">
        <f t="shared" si="12"/>
        <v>0.56400000000000006</v>
      </c>
      <c r="L27" s="21">
        <f t="shared" si="13"/>
        <v>0.48000000000000009</v>
      </c>
      <c r="O27" s="80"/>
      <c r="P27" s="17">
        <v>2046</v>
      </c>
      <c r="Q27" s="21">
        <f t="shared" si="5"/>
        <v>0.46912854030501111</v>
      </c>
      <c r="R27" s="21">
        <f t="shared" si="6"/>
        <v>0.4709230769230765</v>
      </c>
      <c r="S27" s="21">
        <f t="shared" si="7"/>
        <v>0.31806153846153845</v>
      </c>
      <c r="V27" s="80"/>
      <c r="W27" s="17">
        <v>2047</v>
      </c>
      <c r="X27" s="21">
        <f>'SEI Scenario LIT'!BK31</f>
        <v>0.69884453850926309</v>
      </c>
      <c r="Y27" s="21">
        <f>'SEI Scenario LIT'!EB31</f>
        <v>0.55719031335799729</v>
      </c>
      <c r="Z27" s="21">
        <f>'SEI Scenario LIT'!AH31</f>
        <v>0.55310584964688536</v>
      </c>
      <c r="AD27" s="80"/>
      <c r="AE27" s="17">
        <v>2047</v>
      </c>
      <c r="AF27" s="21">
        <f>(1-'SEI Scenario LIT'!BM31)</f>
        <v>0.69652225411332735</v>
      </c>
      <c r="AG27" s="21">
        <f>(1-'SEI Scenario LIT'!ED31)</f>
        <v>0.85053816001343507</v>
      </c>
      <c r="AH27" s="21">
        <f>(1-'SEI Scenario LIT'!AJ31)</f>
        <v>0.54713081964811372</v>
      </c>
      <c r="AI27" s="17">
        <v>2047</v>
      </c>
      <c r="AJ27" s="21">
        <f>('SEI Scenario LIT'!BM31)</f>
        <v>0.30347774588667265</v>
      </c>
      <c r="AK27" s="21">
        <f>('SEI Scenario LIT'!ED31)</f>
        <v>0.1494618399865649</v>
      </c>
      <c r="AL27" s="21">
        <f>('SEI Scenario LIT'!AJ31)</f>
        <v>0.45286918035188622</v>
      </c>
    </row>
    <row r="28" spans="1:38" ht="15" hidden="1" customHeight="1" x14ac:dyDescent="0.35">
      <c r="A28" s="80"/>
      <c r="B28" s="17">
        <v>2047</v>
      </c>
      <c r="C28" s="21">
        <f t="shared" si="8"/>
        <v>0.4850000000000001</v>
      </c>
      <c r="D28" s="21">
        <f t="shared" si="9"/>
        <v>4.0499999999999911E-2</v>
      </c>
      <c r="E28" s="21">
        <f t="shared" si="10"/>
        <v>0</v>
      </c>
      <c r="H28" s="80"/>
      <c r="I28" s="17">
        <v>2047</v>
      </c>
      <c r="J28" s="21">
        <f t="shared" si="11"/>
        <v>0.58800000000000008</v>
      </c>
      <c r="K28" s="21">
        <f t="shared" si="12"/>
        <v>0.57800000000000007</v>
      </c>
      <c r="L28" s="21">
        <f t="shared" si="13"/>
        <v>0.51000000000000012</v>
      </c>
      <c r="O28" s="80"/>
      <c r="P28" s="17">
        <v>2047</v>
      </c>
      <c r="Q28" s="21">
        <f t="shared" si="5"/>
        <v>0.47783224400871482</v>
      </c>
      <c r="R28" s="21">
        <f t="shared" si="6"/>
        <v>0.47819230769230725</v>
      </c>
      <c r="S28" s="21">
        <f t="shared" si="7"/>
        <v>0.33229615384615385</v>
      </c>
      <c r="V28" s="80"/>
      <c r="W28" s="17">
        <v>2048</v>
      </c>
      <c r="X28" s="21">
        <f>'SEI Scenario LIT'!BK32</f>
        <v>0.70834337901470523</v>
      </c>
      <c r="Y28" s="21">
        <f>'SEI Scenario LIT'!EB32</f>
        <v>0.56134322460311592</v>
      </c>
      <c r="Z28" s="21">
        <f>'SEI Scenario LIT'!AH32</f>
        <v>0.56770447439695848</v>
      </c>
      <c r="AD28" s="80"/>
      <c r="AE28" s="17">
        <v>2048</v>
      </c>
      <c r="AF28" s="21">
        <f>(1-'SEI Scenario LIT'!BM32)</f>
        <v>0.69215941385422841</v>
      </c>
      <c r="AG28" s="21">
        <f>(1-'SEI Scenario LIT'!ED32)</f>
        <v>0.84838947484119265</v>
      </c>
      <c r="AH28" s="21">
        <f>(1-'SEI Scenario LIT'!AJ32)</f>
        <v>0.54061860833841369</v>
      </c>
      <c r="AI28" s="17">
        <v>2048</v>
      </c>
      <c r="AJ28" s="21">
        <f>('SEI Scenario LIT'!BM32)</f>
        <v>0.30784058614577159</v>
      </c>
      <c r="AK28" s="21">
        <f>('SEI Scenario LIT'!ED32)</f>
        <v>0.15161052515880741</v>
      </c>
      <c r="AL28" s="21">
        <f>('SEI Scenario LIT'!AJ32)</f>
        <v>0.45938139166158637</v>
      </c>
    </row>
    <row r="29" spans="1:38" ht="15" hidden="1" customHeight="1" x14ac:dyDescent="0.35">
      <c r="A29" s="80"/>
      <c r="B29" s="17">
        <v>2048</v>
      </c>
      <c r="C29" s="21">
        <f t="shared" si="8"/>
        <v>0.4900000000000001</v>
      </c>
      <c r="D29" s="21">
        <f t="shared" si="9"/>
        <v>2.6999999999999909E-2</v>
      </c>
      <c r="E29" s="21">
        <f t="shared" si="10"/>
        <v>0</v>
      </c>
      <c r="H29" s="80"/>
      <c r="I29" s="17">
        <v>2048</v>
      </c>
      <c r="J29" s="21">
        <f t="shared" si="11"/>
        <v>0.59200000000000008</v>
      </c>
      <c r="K29" s="21">
        <f t="shared" si="12"/>
        <v>0.59200000000000008</v>
      </c>
      <c r="L29" s="21">
        <f t="shared" si="13"/>
        <v>0.54000000000000015</v>
      </c>
      <c r="O29" s="80"/>
      <c r="P29" s="17">
        <v>2048</v>
      </c>
      <c r="Q29" s="21">
        <f t="shared" si="5"/>
        <v>0.48653594771241854</v>
      </c>
      <c r="R29" s="21">
        <f t="shared" si="6"/>
        <v>0.485461538461538</v>
      </c>
      <c r="S29" s="21">
        <f t="shared" si="7"/>
        <v>0.34653076923076925</v>
      </c>
      <c r="V29" s="80"/>
      <c r="W29" s="17">
        <v>2049</v>
      </c>
      <c r="X29" s="21">
        <f>'SEI Scenario LIT'!BK33</f>
        <v>0.7156387013706329</v>
      </c>
      <c r="Y29" s="21">
        <f>'SEI Scenario LIT'!EB33</f>
        <v>0.56451168448911171</v>
      </c>
      <c r="Z29" s="21">
        <f>'SEI Scenario LIT'!AH33</f>
        <v>0.57903016734558799</v>
      </c>
      <c r="AD29" s="80"/>
      <c r="AE29" s="17">
        <v>2049</v>
      </c>
      <c r="AF29" s="21">
        <f>(1-'SEI Scenario LIT'!BM33)</f>
        <v>0.68884558492043224</v>
      </c>
      <c r="AG29" s="21">
        <f>(1-'SEI Scenario LIT'!ED33)</f>
        <v>0.84675742446333424</v>
      </c>
      <c r="AH29" s="21">
        <f>(1-'SEI Scenario LIT'!AJ33)</f>
        <v>0.53567220806256755</v>
      </c>
      <c r="AI29" s="17">
        <v>2049</v>
      </c>
      <c r="AJ29" s="21">
        <f>('SEI Scenario LIT'!BM33)</f>
        <v>0.3111544150795677</v>
      </c>
      <c r="AK29" s="21">
        <f>('SEI Scenario LIT'!ED33)</f>
        <v>0.15324257553666576</v>
      </c>
      <c r="AL29" s="21">
        <f>('SEI Scenario LIT'!AJ33)</f>
        <v>0.4643277919374324</v>
      </c>
    </row>
    <row r="30" spans="1:38" ht="15" hidden="1" customHeight="1" x14ac:dyDescent="0.35">
      <c r="A30" s="80"/>
      <c r="B30" s="17">
        <v>2049</v>
      </c>
      <c r="C30" s="21">
        <f t="shared" si="8"/>
        <v>0.49500000000000011</v>
      </c>
      <c r="D30" s="21">
        <f t="shared" si="9"/>
        <v>1.3499999999999908E-2</v>
      </c>
      <c r="E30" s="21">
        <f t="shared" si="10"/>
        <v>0</v>
      </c>
      <c r="H30" s="80"/>
      <c r="I30" s="17">
        <v>2049</v>
      </c>
      <c r="J30" s="21">
        <f t="shared" si="11"/>
        <v>0.59600000000000009</v>
      </c>
      <c r="K30" s="21">
        <f t="shared" si="12"/>
        <v>0.60600000000000009</v>
      </c>
      <c r="L30" s="21">
        <f t="shared" si="13"/>
        <v>0.57000000000000017</v>
      </c>
      <c r="O30" s="80"/>
      <c r="P30" s="17">
        <v>2049</v>
      </c>
      <c r="Q30" s="21">
        <f t="shared" si="5"/>
        <v>0.49523965141612225</v>
      </c>
      <c r="R30" s="21">
        <f t="shared" si="6"/>
        <v>0.49273076923076875</v>
      </c>
      <c r="S30" s="21">
        <f t="shared" si="7"/>
        <v>0.36076538461538465</v>
      </c>
      <c r="V30" s="80"/>
      <c r="W30" s="17">
        <v>2050</v>
      </c>
      <c r="X30" s="21">
        <f>'SEI Scenario LIT'!BK34</f>
        <v>0.72119195637604672</v>
      </c>
      <c r="Y30" s="21">
        <f>'SEI Scenario LIT'!EB34</f>
        <v>0.56691137795072655</v>
      </c>
      <c r="Z30" s="21">
        <f>'SEI Scenario LIT'!AH34</f>
        <v>0.58771843665187251</v>
      </c>
      <c r="AD30" s="80"/>
      <c r="AE30" s="50">
        <v>2050</v>
      </c>
      <c r="AF30" s="21">
        <f>(1-'SEI Scenario LIT'!BM34)</f>
        <v>0.68634426584404551</v>
      </c>
      <c r="AG30" s="21">
        <f>(1-'SEI Scenario LIT'!ED34)</f>
        <v>0.84552553264715513</v>
      </c>
      <c r="AH30" s="21">
        <f>(1-'SEI Scenario LIT'!AJ34)</f>
        <v>0.53193860393978509</v>
      </c>
      <c r="AI30" s="17">
        <v>2050</v>
      </c>
      <c r="AJ30" s="21">
        <f>('SEI Scenario LIT'!BM34)</f>
        <v>0.31365573415595444</v>
      </c>
      <c r="AK30" s="21">
        <f>('SEI Scenario LIT'!ED34)</f>
        <v>0.15447446735284487</v>
      </c>
      <c r="AL30" s="21">
        <f>('SEI Scenario LIT'!AJ34)</f>
        <v>0.46806139606021496</v>
      </c>
    </row>
    <row r="31" spans="1:38" ht="15" hidden="1" customHeight="1" x14ac:dyDescent="0.35">
      <c r="A31" s="80"/>
      <c r="B31" s="17">
        <v>2050</v>
      </c>
      <c r="C31" s="51">
        <v>0.5</v>
      </c>
      <c r="D31" s="7"/>
      <c r="E31" s="7"/>
      <c r="H31" s="80"/>
      <c r="I31" s="17">
        <v>2050</v>
      </c>
      <c r="J31" s="44">
        <v>0.6</v>
      </c>
      <c r="K31" s="44">
        <v>0.62</v>
      </c>
      <c r="L31" s="44">
        <v>0.6</v>
      </c>
      <c r="O31" s="80"/>
      <c r="P31" s="17">
        <v>2050</v>
      </c>
      <c r="Q31" s="44">
        <v>0.495</v>
      </c>
      <c r="R31" s="44">
        <v>0.5</v>
      </c>
      <c r="S31" s="44">
        <v>0.375</v>
      </c>
      <c r="V31" s="80"/>
      <c r="AD31" s="80"/>
    </row>
    <row r="32" spans="1:38" x14ac:dyDescent="0.35">
      <c r="I32" s="7"/>
      <c r="P32" s="7"/>
    </row>
    <row r="33" spans="9:16" x14ac:dyDescent="0.35">
      <c r="I33" s="7"/>
      <c r="P33" s="7"/>
    </row>
    <row r="34" spans="9:16" x14ac:dyDescent="0.35">
      <c r="I34" s="7"/>
      <c r="P34" s="7"/>
    </row>
    <row r="35" spans="9:16" x14ac:dyDescent="0.35">
      <c r="I35" s="7"/>
      <c r="P35" s="7"/>
    </row>
    <row r="36" spans="9:16" x14ac:dyDescent="0.35">
      <c r="I36" s="7"/>
      <c r="P36" s="7"/>
    </row>
    <row r="37" spans="9:16" x14ac:dyDescent="0.35">
      <c r="I37" s="7"/>
      <c r="P37" s="7"/>
    </row>
    <row r="38" spans="9:16" x14ac:dyDescent="0.35">
      <c r="I38" s="7"/>
      <c r="P38" s="7"/>
    </row>
    <row r="39" spans="9:16" x14ac:dyDescent="0.35">
      <c r="I39" s="7"/>
      <c r="P39" s="7"/>
    </row>
    <row r="40" spans="9:16" x14ac:dyDescent="0.35">
      <c r="I40" s="7"/>
      <c r="P40" s="7"/>
    </row>
    <row r="41" spans="9:16" x14ac:dyDescent="0.35">
      <c r="I41" s="7"/>
      <c r="P41" s="7"/>
    </row>
    <row r="42" spans="9:16" x14ac:dyDescent="0.35">
      <c r="I42" s="7"/>
      <c r="P42" s="7"/>
    </row>
    <row r="43" spans="9:16" x14ac:dyDescent="0.35">
      <c r="I43" s="7"/>
      <c r="P43" s="7"/>
    </row>
    <row r="44" spans="9:16" x14ac:dyDescent="0.35">
      <c r="I44" s="7"/>
      <c r="P44" s="7"/>
    </row>
    <row r="45" spans="9:16" x14ac:dyDescent="0.35">
      <c r="I45" s="7"/>
      <c r="P45" s="7"/>
    </row>
    <row r="46" spans="9:16" x14ac:dyDescent="0.35">
      <c r="I46" s="7"/>
      <c r="P46" s="7"/>
    </row>
    <row r="47" spans="9:16" x14ac:dyDescent="0.35">
      <c r="I47" s="7"/>
      <c r="P47" s="7"/>
    </row>
    <row r="48" spans="9:16" x14ac:dyDescent="0.35">
      <c r="I48" s="7"/>
      <c r="P48" s="7"/>
    </row>
    <row r="49" spans="9:16" x14ac:dyDescent="0.35">
      <c r="I49" s="7"/>
      <c r="P49" s="7"/>
    </row>
    <row r="50" spans="9:16" x14ac:dyDescent="0.35">
      <c r="I50" s="7"/>
      <c r="P50" s="7"/>
    </row>
    <row r="51" spans="9:16" x14ac:dyDescent="0.35">
      <c r="I51" s="7"/>
      <c r="P51" s="7"/>
    </row>
    <row r="52" spans="9:16" x14ac:dyDescent="0.35">
      <c r="I52" s="7"/>
      <c r="P52" s="7"/>
    </row>
    <row r="53" spans="9:16" x14ac:dyDescent="0.35">
      <c r="I53" s="7"/>
      <c r="P53" s="7"/>
    </row>
    <row r="54" spans="9:16" x14ac:dyDescent="0.35">
      <c r="I54" s="7"/>
      <c r="P54" s="7"/>
    </row>
    <row r="55" spans="9:16" x14ac:dyDescent="0.35">
      <c r="I55" s="7"/>
      <c r="P55" s="7"/>
    </row>
    <row r="56" spans="9:16" x14ac:dyDescent="0.35">
      <c r="I56" s="7"/>
      <c r="P56" s="7"/>
    </row>
    <row r="57" spans="9:16" x14ac:dyDescent="0.35">
      <c r="I57" s="7"/>
      <c r="P57" s="7"/>
    </row>
    <row r="58" spans="9:16" x14ac:dyDescent="0.35">
      <c r="I58" s="7"/>
      <c r="P58" s="7"/>
    </row>
    <row r="59" spans="9:16" x14ac:dyDescent="0.35">
      <c r="I59" s="7"/>
      <c r="P59" s="7"/>
    </row>
    <row r="60" spans="9:16" x14ac:dyDescent="0.35">
      <c r="I60" s="7"/>
      <c r="P60" s="7"/>
    </row>
    <row r="61" spans="9:16" x14ac:dyDescent="0.35">
      <c r="I61" s="7"/>
      <c r="P61" s="7"/>
    </row>
    <row r="62" spans="9:16" x14ac:dyDescent="0.35">
      <c r="I62" s="7"/>
      <c r="P62" s="7"/>
    </row>
    <row r="63" spans="9:16" x14ac:dyDescent="0.35">
      <c r="I63" s="7"/>
      <c r="P63" s="7"/>
    </row>
    <row r="64" spans="9:16" x14ac:dyDescent="0.35">
      <c r="I64" s="7"/>
      <c r="P64" s="7"/>
    </row>
    <row r="65" spans="9:16" x14ac:dyDescent="0.35">
      <c r="I65" s="7"/>
      <c r="P65" s="7"/>
    </row>
    <row r="66" spans="9:16" x14ac:dyDescent="0.35">
      <c r="I66" s="7"/>
      <c r="P66" s="7"/>
    </row>
    <row r="67" spans="9:16" x14ac:dyDescent="0.35">
      <c r="I67" s="7"/>
      <c r="P67" s="7"/>
    </row>
    <row r="68" spans="9:16" x14ac:dyDescent="0.35">
      <c r="I68" s="7"/>
      <c r="P68" s="7"/>
    </row>
    <row r="69" spans="9:16" x14ac:dyDescent="0.35">
      <c r="I69" s="7"/>
      <c r="P69" s="7"/>
    </row>
    <row r="70" spans="9:16" x14ac:dyDescent="0.35">
      <c r="I70" s="7"/>
      <c r="P70" s="7"/>
    </row>
    <row r="71" spans="9:16" x14ac:dyDescent="0.35">
      <c r="I71" s="7"/>
      <c r="P71" s="7"/>
    </row>
    <row r="72" spans="9:16" x14ac:dyDescent="0.35">
      <c r="I72" s="7"/>
      <c r="P72" s="7"/>
    </row>
    <row r="73" spans="9:16" x14ac:dyDescent="0.35">
      <c r="I73" s="7"/>
      <c r="P73" s="7"/>
    </row>
    <row r="74" spans="9:16" x14ac:dyDescent="0.35">
      <c r="I74" s="7"/>
      <c r="P74" s="7"/>
    </row>
    <row r="75" spans="9:16" x14ac:dyDescent="0.35">
      <c r="I75" s="7"/>
      <c r="P75" s="7"/>
    </row>
    <row r="76" spans="9:16" x14ac:dyDescent="0.35">
      <c r="I76" s="7"/>
      <c r="P76" s="7"/>
    </row>
    <row r="77" spans="9:16" x14ac:dyDescent="0.35">
      <c r="I77" s="7"/>
      <c r="P77" s="7"/>
    </row>
    <row r="78" spans="9:16" x14ac:dyDescent="0.35">
      <c r="I78" s="7"/>
      <c r="P78" s="7"/>
    </row>
    <row r="79" spans="9:16" x14ac:dyDescent="0.35">
      <c r="I79" s="7"/>
      <c r="P79" s="7"/>
    </row>
    <row r="80" spans="9:16" x14ac:dyDescent="0.35">
      <c r="I80" s="7"/>
      <c r="P80" s="7"/>
    </row>
    <row r="81" spans="9:16" x14ac:dyDescent="0.35">
      <c r="I81" s="7"/>
      <c r="P81" s="7"/>
    </row>
    <row r="82" spans="9:16" x14ac:dyDescent="0.35">
      <c r="I82" s="7"/>
      <c r="P82" s="7"/>
    </row>
    <row r="83" spans="9:16" x14ac:dyDescent="0.35">
      <c r="I83" s="7"/>
      <c r="P83" s="7"/>
    </row>
    <row r="84" spans="9:16" x14ac:dyDescent="0.35">
      <c r="I84" s="7"/>
      <c r="P84" s="7"/>
    </row>
    <row r="85" spans="9:16" x14ac:dyDescent="0.35">
      <c r="I85" s="7"/>
      <c r="P85" s="7"/>
    </row>
    <row r="86" spans="9:16" x14ac:dyDescent="0.35">
      <c r="I86" s="7"/>
      <c r="P86" s="7"/>
    </row>
    <row r="87" spans="9:16" x14ac:dyDescent="0.35">
      <c r="I87" s="7"/>
      <c r="P87" s="7"/>
    </row>
    <row r="88" spans="9:16" x14ac:dyDescent="0.35">
      <c r="I88" s="7"/>
      <c r="P88" s="7"/>
    </row>
    <row r="89" spans="9:16" x14ac:dyDescent="0.35">
      <c r="I89" s="7"/>
      <c r="P89" s="7"/>
    </row>
    <row r="90" spans="9:16" x14ac:dyDescent="0.35">
      <c r="I90" s="7"/>
      <c r="P90" s="7"/>
    </row>
    <row r="91" spans="9:16" x14ac:dyDescent="0.35">
      <c r="I91" s="7"/>
      <c r="P91" s="7"/>
    </row>
    <row r="92" spans="9:16" x14ac:dyDescent="0.35">
      <c r="I92" s="7"/>
      <c r="P92" s="7"/>
    </row>
    <row r="93" spans="9:16" x14ac:dyDescent="0.35">
      <c r="I93" s="7"/>
      <c r="P93" s="7"/>
    </row>
    <row r="94" spans="9:16" x14ac:dyDescent="0.35">
      <c r="I94" s="7"/>
      <c r="P94" s="7"/>
    </row>
    <row r="95" spans="9:16" x14ac:dyDescent="0.35">
      <c r="I95" s="7"/>
      <c r="P95" s="7"/>
    </row>
    <row r="96" spans="9:16" x14ac:dyDescent="0.35">
      <c r="I96" s="7"/>
      <c r="P96" s="7"/>
    </row>
    <row r="97" spans="9:16" x14ac:dyDescent="0.35">
      <c r="I97" s="7"/>
      <c r="P97" s="7"/>
    </row>
    <row r="98" spans="9:16" x14ac:dyDescent="0.35">
      <c r="I98" s="7"/>
      <c r="P98" s="7"/>
    </row>
    <row r="99" spans="9:16" x14ac:dyDescent="0.35">
      <c r="I99" s="7"/>
      <c r="P99" s="7"/>
    </row>
    <row r="100" spans="9:16" x14ac:dyDescent="0.35">
      <c r="I100" s="7"/>
      <c r="P100" s="7"/>
    </row>
    <row r="101" spans="9:16" x14ac:dyDescent="0.35">
      <c r="I101" s="7"/>
      <c r="P101" s="7"/>
    </row>
    <row r="102" spans="9:16" x14ac:dyDescent="0.35">
      <c r="I102" s="7"/>
      <c r="P102" s="7"/>
    </row>
    <row r="103" spans="9:16" x14ac:dyDescent="0.35">
      <c r="I103" s="7"/>
      <c r="P103" s="7"/>
    </row>
    <row r="104" spans="9:16" x14ac:dyDescent="0.35">
      <c r="I104" s="7"/>
      <c r="P104" s="7"/>
    </row>
    <row r="105" spans="9:16" x14ac:dyDescent="0.35">
      <c r="I105" s="7"/>
      <c r="P105" s="7"/>
    </row>
    <row r="106" spans="9:16" x14ac:dyDescent="0.35">
      <c r="I106" s="7"/>
      <c r="P106" s="7"/>
    </row>
    <row r="107" spans="9:16" x14ac:dyDescent="0.35">
      <c r="I107" s="7"/>
      <c r="P107" s="7"/>
    </row>
    <row r="108" spans="9:16" x14ac:dyDescent="0.35">
      <c r="I108" s="7"/>
      <c r="P108" s="7"/>
    </row>
    <row r="109" spans="9:16" x14ac:dyDescent="0.35">
      <c r="I109" s="7"/>
      <c r="P109" s="7"/>
    </row>
    <row r="110" spans="9:16" x14ac:dyDescent="0.35">
      <c r="I110" s="7"/>
      <c r="P110" s="7"/>
    </row>
    <row r="111" spans="9:16" x14ac:dyDescent="0.35">
      <c r="I111" s="7"/>
      <c r="P111" s="7"/>
    </row>
    <row r="112" spans="9:16" x14ac:dyDescent="0.35">
      <c r="I112" s="7"/>
      <c r="P112" s="7"/>
    </row>
    <row r="113" spans="9:16" x14ac:dyDescent="0.35">
      <c r="I113" s="7"/>
      <c r="P113" s="7"/>
    </row>
    <row r="114" spans="9:16" x14ac:dyDescent="0.35">
      <c r="I114" s="7"/>
      <c r="P114" s="7"/>
    </row>
    <row r="115" spans="9:16" x14ac:dyDescent="0.35">
      <c r="I115" s="7"/>
      <c r="P115" s="7"/>
    </row>
    <row r="116" spans="9:16" x14ac:dyDescent="0.35">
      <c r="I116" s="7"/>
      <c r="P116" s="7"/>
    </row>
    <row r="117" spans="9:16" x14ac:dyDescent="0.35">
      <c r="I117" s="7"/>
      <c r="P117" s="7"/>
    </row>
    <row r="118" spans="9:16" x14ac:dyDescent="0.35">
      <c r="I118" s="7"/>
      <c r="P118" s="7"/>
    </row>
    <row r="119" spans="9:16" x14ac:dyDescent="0.35">
      <c r="I119" s="7"/>
      <c r="P119" s="7"/>
    </row>
    <row r="120" spans="9:16" x14ac:dyDescent="0.35">
      <c r="I120" s="7"/>
      <c r="P120" s="7"/>
    </row>
    <row r="121" spans="9:16" x14ac:dyDescent="0.35">
      <c r="I121" s="7"/>
      <c r="P121" s="7"/>
    </row>
    <row r="122" spans="9:16" x14ac:dyDescent="0.35">
      <c r="I122" s="7"/>
      <c r="P122" s="7"/>
    </row>
    <row r="123" spans="9:16" x14ac:dyDescent="0.35">
      <c r="I123" s="7"/>
      <c r="P123" s="7"/>
    </row>
    <row r="124" spans="9:16" x14ac:dyDescent="0.35">
      <c r="I124" s="7"/>
      <c r="P124" s="7"/>
    </row>
    <row r="125" spans="9:16" x14ac:dyDescent="0.35">
      <c r="I125" s="7"/>
      <c r="P125" s="7"/>
    </row>
    <row r="126" spans="9:16" x14ac:dyDescent="0.35">
      <c r="I126" s="7"/>
      <c r="P126" s="7"/>
    </row>
    <row r="127" spans="9:16" x14ac:dyDescent="0.35">
      <c r="I127" s="7"/>
      <c r="P127" s="7"/>
    </row>
    <row r="128" spans="9:16" x14ac:dyDescent="0.35">
      <c r="I128" s="7"/>
      <c r="P128" s="7"/>
    </row>
    <row r="129" spans="9:16" x14ac:dyDescent="0.35">
      <c r="I129" s="7"/>
      <c r="P129" s="7"/>
    </row>
    <row r="130" spans="9:16" x14ac:dyDescent="0.35">
      <c r="I130" s="7"/>
      <c r="P130" s="7"/>
    </row>
    <row r="131" spans="9:16" x14ac:dyDescent="0.35">
      <c r="I131" s="7"/>
      <c r="P131" s="7"/>
    </row>
    <row r="132" spans="9:16" x14ac:dyDescent="0.35">
      <c r="I132" s="7"/>
      <c r="P132" s="7"/>
    </row>
    <row r="133" spans="9:16" x14ac:dyDescent="0.35">
      <c r="I133" s="7"/>
      <c r="P133" s="7"/>
    </row>
    <row r="134" spans="9:16" x14ac:dyDescent="0.35">
      <c r="I134" s="7"/>
      <c r="P134" s="7"/>
    </row>
    <row r="135" spans="9:16" x14ac:dyDescent="0.35">
      <c r="I135" s="7"/>
      <c r="P135" s="7"/>
    </row>
    <row r="136" spans="9:16" x14ac:dyDescent="0.35">
      <c r="I136" s="7"/>
      <c r="P136" s="7"/>
    </row>
    <row r="137" spans="9:16" x14ac:dyDescent="0.35">
      <c r="I137" s="7"/>
      <c r="P137" s="7"/>
    </row>
    <row r="138" spans="9:16" x14ac:dyDescent="0.35">
      <c r="I138" s="7"/>
      <c r="P138" s="7"/>
    </row>
    <row r="139" spans="9:16" x14ac:dyDescent="0.35">
      <c r="I139" s="7"/>
      <c r="P139" s="7"/>
    </row>
    <row r="140" spans="9:16" x14ac:dyDescent="0.35">
      <c r="I140" s="7"/>
      <c r="P140" s="7"/>
    </row>
    <row r="141" spans="9:16" x14ac:dyDescent="0.35">
      <c r="I141" s="7"/>
      <c r="P141" s="7"/>
    </row>
    <row r="142" spans="9:16" x14ac:dyDescent="0.35">
      <c r="I142" s="7"/>
      <c r="P142" s="7"/>
    </row>
    <row r="143" spans="9:16" x14ac:dyDescent="0.35">
      <c r="I143" s="7"/>
      <c r="P143" s="7"/>
    </row>
    <row r="144" spans="9:16" x14ac:dyDescent="0.35">
      <c r="I144" s="7"/>
      <c r="P144" s="7"/>
    </row>
    <row r="145" spans="9:16" x14ac:dyDescent="0.35">
      <c r="I145" s="7"/>
      <c r="P145" s="7"/>
    </row>
    <row r="146" spans="9:16" x14ac:dyDescent="0.35">
      <c r="I146" s="7"/>
      <c r="P146" s="7"/>
    </row>
    <row r="147" spans="9:16" x14ac:dyDescent="0.35">
      <c r="I147" s="7"/>
      <c r="P147" s="7"/>
    </row>
    <row r="148" spans="9:16" x14ac:dyDescent="0.35">
      <c r="I148" s="7"/>
      <c r="P148" s="7"/>
    </row>
    <row r="149" spans="9:16" x14ac:dyDescent="0.35">
      <c r="I149" s="7"/>
      <c r="P149" s="7"/>
    </row>
    <row r="150" spans="9:16" x14ac:dyDescent="0.35">
      <c r="I150" s="7"/>
      <c r="P150" s="7"/>
    </row>
    <row r="151" spans="9:16" x14ac:dyDescent="0.35">
      <c r="I151" s="7"/>
      <c r="P151" s="7"/>
    </row>
    <row r="152" spans="9:16" x14ac:dyDescent="0.35">
      <c r="I152" s="7"/>
      <c r="P152" s="7"/>
    </row>
    <row r="153" spans="9:16" x14ac:dyDescent="0.35">
      <c r="I153" s="7"/>
      <c r="P153" s="7"/>
    </row>
    <row r="154" spans="9:16" x14ac:dyDescent="0.35">
      <c r="I154" s="7"/>
      <c r="P154" s="7"/>
    </row>
    <row r="155" spans="9:16" x14ac:dyDescent="0.35">
      <c r="I155" s="7"/>
      <c r="P155" s="7"/>
    </row>
    <row r="156" spans="9:16" x14ac:dyDescent="0.35">
      <c r="I156" s="7"/>
      <c r="P156" s="7"/>
    </row>
    <row r="157" spans="9:16" x14ac:dyDescent="0.35">
      <c r="I157" s="7"/>
      <c r="P157" s="7"/>
    </row>
    <row r="158" spans="9:16" x14ac:dyDescent="0.35">
      <c r="I158" s="7"/>
      <c r="P158" s="7"/>
    </row>
    <row r="159" spans="9:16" x14ac:dyDescent="0.35">
      <c r="I159" s="7"/>
      <c r="P159" s="7"/>
    </row>
    <row r="160" spans="9:16" x14ac:dyDescent="0.35">
      <c r="I160" s="7"/>
      <c r="P160" s="7"/>
    </row>
    <row r="161" spans="9:16" x14ac:dyDescent="0.35">
      <c r="I161" s="7"/>
      <c r="P161" s="7"/>
    </row>
    <row r="162" spans="9:16" x14ac:dyDescent="0.35">
      <c r="I162" s="7"/>
      <c r="P162" s="7"/>
    </row>
    <row r="163" spans="9:16" x14ac:dyDescent="0.35">
      <c r="I163" s="7"/>
      <c r="P163" s="7"/>
    </row>
    <row r="164" spans="9:16" x14ac:dyDescent="0.35">
      <c r="I164" s="7"/>
      <c r="P164" s="7"/>
    </row>
    <row r="165" spans="9:16" x14ac:dyDescent="0.35">
      <c r="I165" s="7"/>
      <c r="P165" s="7"/>
    </row>
    <row r="166" spans="9:16" x14ac:dyDescent="0.35">
      <c r="I166" s="7"/>
      <c r="P166" s="7"/>
    </row>
    <row r="167" spans="9:16" x14ac:dyDescent="0.35">
      <c r="I167" s="7"/>
      <c r="P167" s="7"/>
    </row>
    <row r="168" spans="9:16" x14ac:dyDescent="0.35">
      <c r="I168" s="7"/>
      <c r="P168" s="7"/>
    </row>
    <row r="169" spans="9:16" x14ac:dyDescent="0.35">
      <c r="I169" s="7"/>
      <c r="P169" s="7"/>
    </row>
    <row r="170" spans="9:16" x14ac:dyDescent="0.35">
      <c r="I170" s="7"/>
      <c r="P170" s="7"/>
    </row>
    <row r="171" spans="9:16" x14ac:dyDescent="0.35">
      <c r="I171" s="7"/>
      <c r="P171" s="7"/>
    </row>
    <row r="172" spans="9:16" x14ac:dyDescent="0.35">
      <c r="I172" s="7"/>
      <c r="P172" s="7"/>
    </row>
    <row r="173" spans="9:16" x14ac:dyDescent="0.35">
      <c r="I173" s="7"/>
      <c r="P173" s="7"/>
    </row>
    <row r="174" spans="9:16" x14ac:dyDescent="0.35">
      <c r="I174" s="7"/>
      <c r="P174" s="7"/>
    </row>
    <row r="175" spans="9:16" x14ac:dyDescent="0.35">
      <c r="I175" s="7"/>
      <c r="P175" s="7"/>
    </row>
    <row r="176" spans="9:16" x14ac:dyDescent="0.35">
      <c r="I176" s="7"/>
      <c r="P176" s="7"/>
    </row>
    <row r="177" spans="9:16" x14ac:dyDescent="0.35">
      <c r="I177" s="7"/>
      <c r="P177" s="7"/>
    </row>
    <row r="178" spans="9:16" x14ac:dyDescent="0.35">
      <c r="I178" s="7"/>
      <c r="P178" s="7"/>
    </row>
    <row r="179" spans="9:16" x14ac:dyDescent="0.35">
      <c r="I179" s="7"/>
      <c r="P179" s="7"/>
    </row>
    <row r="180" spans="9:16" x14ac:dyDescent="0.35">
      <c r="I180" s="7"/>
      <c r="P180" s="7"/>
    </row>
    <row r="181" spans="9:16" x14ac:dyDescent="0.35">
      <c r="I181" s="7"/>
      <c r="P181" s="7"/>
    </row>
    <row r="182" spans="9:16" x14ac:dyDescent="0.35">
      <c r="I182" s="7"/>
      <c r="P182" s="7"/>
    </row>
    <row r="183" spans="9:16" x14ac:dyDescent="0.35">
      <c r="I183" s="7"/>
      <c r="P183" s="7"/>
    </row>
    <row r="184" spans="9:16" x14ac:dyDescent="0.35">
      <c r="I184" s="7"/>
      <c r="P184" s="7"/>
    </row>
    <row r="185" spans="9:16" x14ac:dyDescent="0.35">
      <c r="I185" s="7"/>
      <c r="P185" s="7"/>
    </row>
    <row r="186" spans="9:16" x14ac:dyDescent="0.35">
      <c r="I186" s="7"/>
      <c r="P186" s="7"/>
    </row>
    <row r="187" spans="9:16" x14ac:dyDescent="0.35">
      <c r="I187" s="7"/>
      <c r="P187" s="7"/>
    </row>
    <row r="188" spans="9:16" x14ac:dyDescent="0.35">
      <c r="I188" s="7"/>
      <c r="P188" s="7"/>
    </row>
    <row r="189" spans="9:16" x14ac:dyDescent="0.35">
      <c r="I189" s="7"/>
      <c r="P189" s="7"/>
    </row>
    <row r="190" spans="9:16" x14ac:dyDescent="0.35">
      <c r="I190" s="7"/>
      <c r="P190" s="7"/>
    </row>
    <row r="191" spans="9:16" x14ac:dyDescent="0.35">
      <c r="I191" s="7"/>
      <c r="P191" s="7"/>
    </row>
    <row r="192" spans="9:16" x14ac:dyDescent="0.35">
      <c r="I192" s="7"/>
      <c r="P192" s="7"/>
    </row>
    <row r="193" spans="9:16" x14ac:dyDescent="0.35">
      <c r="I193" s="7"/>
      <c r="P193" s="7"/>
    </row>
    <row r="194" spans="9:16" x14ac:dyDescent="0.35">
      <c r="I194" s="7"/>
      <c r="P194" s="7"/>
    </row>
    <row r="195" spans="9:16" x14ac:dyDescent="0.35">
      <c r="I195" s="7"/>
      <c r="P195" s="7"/>
    </row>
    <row r="196" spans="9:16" x14ac:dyDescent="0.35">
      <c r="I196" s="7"/>
      <c r="P196" s="7"/>
    </row>
    <row r="197" spans="9:16" x14ac:dyDescent="0.35">
      <c r="I197" s="7"/>
      <c r="P197" s="7"/>
    </row>
    <row r="198" spans="9:16" x14ac:dyDescent="0.35">
      <c r="I198" s="7"/>
      <c r="P198" s="7"/>
    </row>
    <row r="199" spans="9:16" x14ac:dyDescent="0.35">
      <c r="I199" s="7"/>
      <c r="P199" s="7"/>
    </row>
    <row r="200" spans="9:16" x14ac:dyDescent="0.35">
      <c r="I200" s="7"/>
      <c r="P200" s="7"/>
    </row>
    <row r="201" spans="9:16" x14ac:dyDescent="0.35">
      <c r="I201" s="7"/>
      <c r="P201" s="7"/>
    </row>
    <row r="202" spans="9:16" x14ac:dyDescent="0.35">
      <c r="I202" s="7"/>
      <c r="P202" s="7"/>
    </row>
    <row r="203" spans="9:16" x14ac:dyDescent="0.35">
      <c r="I203" s="7"/>
      <c r="P203" s="7"/>
    </row>
    <row r="204" spans="9:16" x14ac:dyDescent="0.35">
      <c r="I204" s="7"/>
      <c r="P204" s="7"/>
    </row>
    <row r="205" spans="9:16" x14ac:dyDescent="0.35">
      <c r="I205" s="7"/>
      <c r="P205" s="7"/>
    </row>
    <row r="206" spans="9:16" x14ac:dyDescent="0.35">
      <c r="I206" s="7"/>
      <c r="P206" s="7"/>
    </row>
    <row r="207" spans="9:16" x14ac:dyDescent="0.35">
      <c r="I207" s="7"/>
      <c r="P207" s="7"/>
    </row>
    <row r="208" spans="9:16" x14ac:dyDescent="0.35">
      <c r="I208" s="7"/>
      <c r="P208" s="7"/>
    </row>
    <row r="209" spans="9:16" x14ac:dyDescent="0.35">
      <c r="I209" s="7"/>
      <c r="P209" s="7"/>
    </row>
    <row r="210" spans="9:16" x14ac:dyDescent="0.35">
      <c r="I210" s="7"/>
      <c r="P210" s="7"/>
    </row>
    <row r="211" spans="9:16" x14ac:dyDescent="0.35">
      <c r="I211" s="7"/>
      <c r="P211" s="7"/>
    </row>
    <row r="212" spans="9:16" x14ac:dyDescent="0.35">
      <c r="I212" s="7"/>
      <c r="P212" s="7"/>
    </row>
    <row r="213" spans="9:16" x14ac:dyDescent="0.35">
      <c r="I213" s="7"/>
      <c r="P213" s="7"/>
    </row>
    <row r="214" spans="9:16" x14ac:dyDescent="0.35">
      <c r="I214" s="7"/>
      <c r="P214" s="7"/>
    </row>
    <row r="215" spans="9:16" x14ac:dyDescent="0.35">
      <c r="I215" s="7"/>
      <c r="P215" s="7"/>
    </row>
    <row r="216" spans="9:16" x14ac:dyDescent="0.35">
      <c r="I216" s="7"/>
      <c r="P216" s="7"/>
    </row>
    <row r="217" spans="9:16" x14ac:dyDescent="0.35">
      <c r="I217" s="7"/>
      <c r="P217" s="7"/>
    </row>
    <row r="218" spans="9:16" x14ac:dyDescent="0.35">
      <c r="I218" s="7"/>
      <c r="P218" s="7"/>
    </row>
    <row r="219" spans="9:16" x14ac:dyDescent="0.35">
      <c r="I219" s="7"/>
      <c r="P219" s="7"/>
    </row>
    <row r="220" spans="9:16" x14ac:dyDescent="0.35">
      <c r="I220" s="7"/>
      <c r="P220" s="7"/>
    </row>
    <row r="221" spans="9:16" x14ac:dyDescent="0.35">
      <c r="I221" s="7"/>
      <c r="P221" s="7"/>
    </row>
    <row r="222" spans="9:16" x14ac:dyDescent="0.35">
      <c r="I222" s="7"/>
      <c r="P222" s="7"/>
    </row>
    <row r="223" spans="9:16" x14ac:dyDescent="0.35">
      <c r="I223" s="7"/>
      <c r="P223" s="7"/>
    </row>
    <row r="224" spans="9:16" x14ac:dyDescent="0.35">
      <c r="I224" s="7"/>
      <c r="P224" s="7"/>
    </row>
    <row r="225" spans="9:16" x14ac:dyDescent="0.35">
      <c r="I225" s="7"/>
      <c r="P225" s="7"/>
    </row>
    <row r="226" spans="9:16" x14ac:dyDescent="0.35">
      <c r="I226" s="7"/>
      <c r="P226" s="7"/>
    </row>
    <row r="227" spans="9:16" x14ac:dyDescent="0.35">
      <c r="I227" s="7"/>
      <c r="P227" s="7"/>
    </row>
    <row r="228" spans="9:16" x14ac:dyDescent="0.35">
      <c r="I228" s="7"/>
      <c r="P228" s="7"/>
    </row>
    <row r="229" spans="9:16" x14ac:dyDescent="0.35">
      <c r="I229" s="7"/>
      <c r="P229" s="7"/>
    </row>
    <row r="230" spans="9:16" x14ac:dyDescent="0.35">
      <c r="I230" s="7"/>
      <c r="P230" s="7"/>
    </row>
    <row r="231" spans="9:16" x14ac:dyDescent="0.35">
      <c r="I231" s="7"/>
      <c r="P231" s="7"/>
    </row>
    <row r="232" spans="9:16" x14ac:dyDescent="0.35">
      <c r="I232" s="7"/>
      <c r="P232" s="7"/>
    </row>
    <row r="233" spans="9:16" x14ac:dyDescent="0.35">
      <c r="I233" s="7"/>
      <c r="P233" s="7"/>
    </row>
    <row r="234" spans="9:16" x14ac:dyDescent="0.35">
      <c r="I234" s="7"/>
      <c r="P234" s="7"/>
    </row>
    <row r="235" spans="9:16" x14ac:dyDescent="0.35">
      <c r="I235" s="7"/>
      <c r="P235" s="7"/>
    </row>
    <row r="236" spans="9:16" x14ac:dyDescent="0.35">
      <c r="I236" s="7"/>
      <c r="P236" s="7"/>
    </row>
    <row r="237" spans="9:16" x14ac:dyDescent="0.35">
      <c r="I237" s="7"/>
      <c r="P237" s="7"/>
    </row>
    <row r="238" spans="9:16" x14ac:dyDescent="0.35">
      <c r="I238" s="7"/>
      <c r="P238" s="7"/>
    </row>
    <row r="239" spans="9:16" x14ac:dyDescent="0.35">
      <c r="I239" s="7"/>
      <c r="P239" s="7"/>
    </row>
    <row r="240" spans="9:16" x14ac:dyDescent="0.35">
      <c r="I240" s="7"/>
      <c r="P240" s="7"/>
    </row>
    <row r="241" spans="9:16" x14ac:dyDescent="0.35">
      <c r="I241" s="7"/>
      <c r="P241" s="7"/>
    </row>
    <row r="242" spans="9:16" x14ac:dyDescent="0.35">
      <c r="I242" s="7"/>
      <c r="P242" s="7"/>
    </row>
    <row r="243" spans="9:16" x14ac:dyDescent="0.35">
      <c r="I243" s="7"/>
      <c r="P243" s="7"/>
    </row>
    <row r="244" spans="9:16" x14ac:dyDescent="0.35">
      <c r="I244" s="7"/>
      <c r="P244" s="7"/>
    </row>
    <row r="245" spans="9:16" x14ac:dyDescent="0.35">
      <c r="I245" s="7"/>
      <c r="P245" s="7"/>
    </row>
    <row r="246" spans="9:16" x14ac:dyDescent="0.35">
      <c r="I246" s="7"/>
      <c r="P246" s="7"/>
    </row>
    <row r="247" spans="9:16" x14ac:dyDescent="0.35">
      <c r="I247" s="7"/>
      <c r="P247" s="7"/>
    </row>
    <row r="248" spans="9:16" x14ac:dyDescent="0.35">
      <c r="I248" s="7"/>
      <c r="P248" s="7"/>
    </row>
    <row r="249" spans="9:16" x14ac:dyDescent="0.35">
      <c r="I249" s="7"/>
      <c r="P249" s="7"/>
    </row>
    <row r="250" spans="9:16" x14ac:dyDescent="0.35">
      <c r="I250" s="7"/>
      <c r="P250" s="7"/>
    </row>
    <row r="251" spans="9:16" x14ac:dyDescent="0.35">
      <c r="I251" s="7"/>
      <c r="P251" s="7"/>
    </row>
    <row r="252" spans="9:16" x14ac:dyDescent="0.35">
      <c r="I252" s="7"/>
      <c r="P252" s="7"/>
    </row>
    <row r="253" spans="9:16" x14ac:dyDescent="0.35">
      <c r="I253" s="7"/>
      <c r="P253" s="7"/>
    </row>
    <row r="254" spans="9:16" x14ac:dyDescent="0.35">
      <c r="I254" s="7"/>
      <c r="P254" s="7"/>
    </row>
    <row r="255" spans="9:16" x14ac:dyDescent="0.35">
      <c r="I255" s="7"/>
      <c r="P255" s="7"/>
    </row>
    <row r="256" spans="9:16" x14ac:dyDescent="0.35">
      <c r="I256" s="7"/>
      <c r="P256" s="7"/>
    </row>
    <row r="257" spans="9:16" x14ac:dyDescent="0.35">
      <c r="I257" s="7"/>
      <c r="P257" s="7"/>
    </row>
    <row r="258" spans="9:16" x14ac:dyDescent="0.35">
      <c r="I258" s="7"/>
      <c r="P258" s="7"/>
    </row>
    <row r="259" spans="9:16" x14ac:dyDescent="0.35">
      <c r="I259" s="7"/>
      <c r="P259" s="7"/>
    </row>
    <row r="260" spans="9:16" x14ac:dyDescent="0.35">
      <c r="I260" s="7"/>
      <c r="P260" s="7"/>
    </row>
    <row r="261" spans="9:16" x14ac:dyDescent="0.35">
      <c r="I261" s="7"/>
      <c r="P261" s="7"/>
    </row>
    <row r="262" spans="9:16" x14ac:dyDescent="0.35">
      <c r="I262" s="7"/>
      <c r="P262" s="7"/>
    </row>
    <row r="263" spans="9:16" x14ac:dyDescent="0.35">
      <c r="I263" s="7"/>
      <c r="P263" s="7"/>
    </row>
    <row r="264" spans="9:16" x14ac:dyDescent="0.35">
      <c r="I264" s="7"/>
      <c r="P264" s="7"/>
    </row>
    <row r="265" spans="9:16" x14ac:dyDescent="0.35">
      <c r="I265" s="7"/>
      <c r="P265" s="7"/>
    </row>
    <row r="266" spans="9:16" x14ac:dyDescent="0.35">
      <c r="I266" s="7"/>
      <c r="P266" s="7"/>
    </row>
    <row r="267" spans="9:16" x14ac:dyDescent="0.35">
      <c r="I267" s="7"/>
      <c r="P267" s="7"/>
    </row>
    <row r="268" spans="9:16" x14ac:dyDescent="0.35">
      <c r="I268" s="7"/>
      <c r="P268" s="7"/>
    </row>
    <row r="269" spans="9:16" x14ac:dyDescent="0.35">
      <c r="I269" s="7"/>
      <c r="P269" s="7"/>
    </row>
    <row r="270" spans="9:16" x14ac:dyDescent="0.35">
      <c r="I270" s="7"/>
      <c r="P270" s="7"/>
    </row>
    <row r="271" spans="9:16" x14ac:dyDescent="0.35">
      <c r="I271" s="7"/>
      <c r="P271" s="7"/>
    </row>
    <row r="272" spans="9:16" x14ac:dyDescent="0.35">
      <c r="I272" s="7"/>
      <c r="P272" s="7"/>
    </row>
    <row r="273" spans="9:16" x14ac:dyDescent="0.35">
      <c r="I273" s="7"/>
      <c r="P273" s="7"/>
    </row>
    <row r="274" spans="9:16" x14ac:dyDescent="0.35">
      <c r="I274" s="7"/>
      <c r="P274" s="7"/>
    </row>
    <row r="275" spans="9:16" x14ac:dyDescent="0.35">
      <c r="I275" s="7"/>
      <c r="P275" s="7"/>
    </row>
    <row r="276" spans="9:16" x14ac:dyDescent="0.35">
      <c r="I276" s="7"/>
      <c r="P276" s="7"/>
    </row>
    <row r="277" spans="9:16" x14ac:dyDescent="0.35">
      <c r="I277" s="7"/>
      <c r="P277" s="7"/>
    </row>
    <row r="278" spans="9:16" x14ac:dyDescent="0.35">
      <c r="I278" s="7"/>
      <c r="P278" s="7"/>
    </row>
    <row r="279" spans="9:16" x14ac:dyDescent="0.35">
      <c r="I279" s="7"/>
      <c r="P279" s="7"/>
    </row>
    <row r="280" spans="9:16" x14ac:dyDescent="0.35">
      <c r="I280" s="7"/>
      <c r="P280" s="7"/>
    </row>
    <row r="281" spans="9:16" x14ac:dyDescent="0.35">
      <c r="I281" s="7"/>
      <c r="P281" s="7"/>
    </row>
    <row r="282" spans="9:16" x14ac:dyDescent="0.35">
      <c r="I282" s="7"/>
      <c r="P282" s="7"/>
    </row>
    <row r="283" spans="9:16" x14ac:dyDescent="0.35">
      <c r="I283" s="7"/>
      <c r="P283" s="7"/>
    </row>
    <row r="284" spans="9:16" x14ac:dyDescent="0.35">
      <c r="I284" s="7"/>
      <c r="P284" s="7"/>
    </row>
    <row r="285" spans="9:16" x14ac:dyDescent="0.35">
      <c r="I285" s="7"/>
      <c r="P285" s="7"/>
    </row>
    <row r="286" spans="9:16" x14ac:dyDescent="0.35">
      <c r="I286" s="7"/>
      <c r="P286" s="7"/>
    </row>
    <row r="287" spans="9:16" x14ac:dyDescent="0.35">
      <c r="I287" s="7"/>
      <c r="P287" s="7"/>
    </row>
    <row r="288" spans="9:16" x14ac:dyDescent="0.35">
      <c r="I288" s="7"/>
      <c r="P288" s="7"/>
    </row>
    <row r="289" spans="9:16" x14ac:dyDescent="0.35">
      <c r="I289" s="7"/>
      <c r="P289" s="7"/>
    </row>
    <row r="290" spans="9:16" x14ac:dyDescent="0.35">
      <c r="I290" s="7"/>
      <c r="P290" s="7"/>
    </row>
    <row r="291" spans="9:16" x14ac:dyDescent="0.35">
      <c r="I291" s="7"/>
      <c r="P291" s="7"/>
    </row>
    <row r="292" spans="9:16" x14ac:dyDescent="0.35">
      <c r="I292" s="7"/>
      <c r="P292" s="7"/>
    </row>
    <row r="293" spans="9:16" x14ac:dyDescent="0.35">
      <c r="I293" s="7"/>
      <c r="P293" s="7"/>
    </row>
    <row r="294" spans="9:16" x14ac:dyDescent="0.35">
      <c r="I294" s="7"/>
      <c r="P294" s="7"/>
    </row>
    <row r="295" spans="9:16" x14ac:dyDescent="0.35">
      <c r="I295" s="7"/>
      <c r="P295" s="7"/>
    </row>
    <row r="296" spans="9:16" x14ac:dyDescent="0.35">
      <c r="I296" s="7"/>
      <c r="P296" s="7"/>
    </row>
    <row r="297" spans="9:16" x14ac:dyDescent="0.35">
      <c r="I297" s="7"/>
      <c r="P297" s="7"/>
    </row>
    <row r="298" spans="9:16" x14ac:dyDescent="0.35">
      <c r="I298" s="7"/>
      <c r="P298" s="7"/>
    </row>
    <row r="299" spans="9:16" x14ac:dyDescent="0.35">
      <c r="I299" s="7"/>
      <c r="P299" s="7"/>
    </row>
    <row r="300" spans="9:16" x14ac:dyDescent="0.35">
      <c r="I300" s="7"/>
      <c r="P300" s="7"/>
    </row>
    <row r="301" spans="9:16" x14ac:dyDescent="0.35">
      <c r="I301" s="7"/>
      <c r="P301" s="7"/>
    </row>
    <row r="302" spans="9:16" x14ac:dyDescent="0.35">
      <c r="I302" s="7"/>
      <c r="P302" s="7"/>
    </row>
    <row r="303" spans="9:16" x14ac:dyDescent="0.35">
      <c r="I303" s="7"/>
      <c r="P303" s="7"/>
    </row>
    <row r="304" spans="9:16" x14ac:dyDescent="0.35">
      <c r="I304" s="7"/>
      <c r="P304" s="7"/>
    </row>
    <row r="305" spans="9:16" x14ac:dyDescent="0.35">
      <c r="I305" s="7"/>
      <c r="P305" s="7"/>
    </row>
    <row r="306" spans="9:16" x14ac:dyDescent="0.35">
      <c r="I306" s="7"/>
      <c r="P306" s="7"/>
    </row>
    <row r="307" spans="9:16" x14ac:dyDescent="0.35">
      <c r="I307" s="7"/>
      <c r="P307" s="7"/>
    </row>
    <row r="308" spans="9:16" x14ac:dyDescent="0.35">
      <c r="I308" s="7"/>
      <c r="P308" s="7"/>
    </row>
    <row r="309" spans="9:16" x14ac:dyDescent="0.35">
      <c r="I309" s="7"/>
      <c r="P309" s="7"/>
    </row>
    <row r="310" spans="9:16" x14ac:dyDescent="0.35">
      <c r="I310" s="7"/>
      <c r="P310" s="7"/>
    </row>
    <row r="311" spans="9:16" x14ac:dyDescent="0.35">
      <c r="I311" s="7"/>
      <c r="P311" s="7"/>
    </row>
    <row r="312" spans="9:16" x14ac:dyDescent="0.35">
      <c r="I312" s="7"/>
      <c r="P312" s="7"/>
    </row>
    <row r="313" spans="9:16" x14ac:dyDescent="0.35">
      <c r="I313" s="7"/>
      <c r="P313" s="7"/>
    </row>
    <row r="314" spans="9:16" x14ac:dyDescent="0.35">
      <c r="I314" s="7"/>
      <c r="P314" s="7"/>
    </row>
    <row r="315" spans="9:16" x14ac:dyDescent="0.35">
      <c r="I315" s="7"/>
      <c r="P315" s="7"/>
    </row>
    <row r="316" spans="9:16" x14ac:dyDescent="0.35">
      <c r="I316" s="7"/>
      <c r="P316" s="7"/>
    </row>
    <row r="317" spans="9:16" x14ac:dyDescent="0.35">
      <c r="I317" s="7"/>
      <c r="P317" s="7"/>
    </row>
    <row r="318" spans="9:16" x14ac:dyDescent="0.35">
      <c r="I318" s="7"/>
      <c r="P318" s="7"/>
    </row>
    <row r="319" spans="9:16" x14ac:dyDescent="0.35">
      <c r="I319" s="7"/>
      <c r="P319" s="7"/>
    </row>
    <row r="320" spans="9:16" x14ac:dyDescent="0.35">
      <c r="I320" s="7"/>
      <c r="P320" s="7"/>
    </row>
    <row r="321" spans="9:16" x14ac:dyDescent="0.35">
      <c r="I321" s="7"/>
      <c r="P321" s="7"/>
    </row>
    <row r="322" spans="9:16" x14ac:dyDescent="0.35">
      <c r="I322" s="7"/>
      <c r="P322" s="7"/>
    </row>
    <row r="323" spans="9:16" x14ac:dyDescent="0.35">
      <c r="I323" s="7"/>
      <c r="P323" s="7"/>
    </row>
    <row r="324" spans="9:16" x14ac:dyDescent="0.35">
      <c r="I324" s="7"/>
      <c r="P324" s="7"/>
    </row>
    <row r="325" spans="9:16" x14ac:dyDescent="0.35">
      <c r="I325" s="7"/>
      <c r="P325" s="7"/>
    </row>
    <row r="326" spans="9:16" x14ac:dyDescent="0.35">
      <c r="I326" s="7"/>
      <c r="P326" s="7"/>
    </row>
    <row r="327" spans="9:16" x14ac:dyDescent="0.35">
      <c r="I327" s="7"/>
      <c r="P327" s="7"/>
    </row>
    <row r="328" spans="9:16" x14ac:dyDescent="0.35">
      <c r="I328" s="7"/>
      <c r="P328" s="7"/>
    </row>
    <row r="329" spans="9:16" x14ac:dyDescent="0.35">
      <c r="I329" s="7"/>
      <c r="P329" s="7"/>
    </row>
    <row r="330" spans="9:16" x14ac:dyDescent="0.35">
      <c r="I330" s="7"/>
      <c r="P330" s="7"/>
    </row>
    <row r="331" spans="9:16" x14ac:dyDescent="0.35">
      <c r="I331" s="7"/>
      <c r="P331" s="7"/>
    </row>
    <row r="332" spans="9:16" x14ac:dyDescent="0.35">
      <c r="I332" s="7"/>
      <c r="P332" s="7"/>
    </row>
    <row r="333" spans="9:16" x14ac:dyDescent="0.35">
      <c r="I333" s="7"/>
      <c r="P333" s="7"/>
    </row>
    <row r="334" spans="9:16" x14ac:dyDescent="0.35">
      <c r="I334" s="7"/>
      <c r="P334" s="7"/>
    </row>
    <row r="335" spans="9:16" x14ac:dyDescent="0.35">
      <c r="I335" s="7"/>
      <c r="P335" s="7"/>
    </row>
    <row r="336" spans="9:16" x14ac:dyDescent="0.35">
      <c r="I336" s="7"/>
      <c r="P336" s="7"/>
    </row>
    <row r="337" spans="9:16" x14ac:dyDescent="0.35">
      <c r="I337" s="7"/>
      <c r="P337" s="7"/>
    </row>
    <row r="338" spans="9:16" x14ac:dyDescent="0.35">
      <c r="I338" s="7"/>
      <c r="P338" s="7"/>
    </row>
    <row r="339" spans="9:16" x14ac:dyDescent="0.35">
      <c r="I339" s="7"/>
      <c r="P339" s="7"/>
    </row>
    <row r="340" spans="9:16" x14ac:dyDescent="0.35">
      <c r="I340" s="7"/>
      <c r="P340" s="7"/>
    </row>
    <row r="341" spans="9:16" x14ac:dyDescent="0.35">
      <c r="I341" s="7"/>
      <c r="P341" s="7"/>
    </row>
    <row r="342" spans="9:16" x14ac:dyDescent="0.35">
      <c r="I342" s="7"/>
      <c r="P342" s="7"/>
    </row>
    <row r="343" spans="9:16" x14ac:dyDescent="0.35">
      <c r="I343" s="7"/>
      <c r="P343" s="7"/>
    </row>
    <row r="344" spans="9:16" x14ac:dyDescent="0.35">
      <c r="I344" s="7"/>
      <c r="P344" s="7"/>
    </row>
    <row r="345" spans="9:16" x14ac:dyDescent="0.35">
      <c r="I345" s="7"/>
      <c r="P345" s="7"/>
    </row>
    <row r="346" spans="9:16" x14ac:dyDescent="0.35">
      <c r="I346" s="7"/>
      <c r="P346" s="7"/>
    </row>
    <row r="347" spans="9:16" x14ac:dyDescent="0.35">
      <c r="I347" s="7"/>
      <c r="P347" s="7"/>
    </row>
    <row r="348" spans="9:16" x14ac:dyDescent="0.35">
      <c r="I348" s="7"/>
      <c r="P348" s="7"/>
    </row>
    <row r="349" spans="9:16" x14ac:dyDescent="0.35">
      <c r="I349" s="7"/>
      <c r="P349" s="7"/>
    </row>
    <row r="350" spans="9:16" x14ac:dyDescent="0.35">
      <c r="I350" s="7"/>
      <c r="P350" s="7"/>
    </row>
    <row r="351" spans="9:16" x14ac:dyDescent="0.35">
      <c r="I351" s="7"/>
      <c r="P351" s="7"/>
    </row>
    <row r="352" spans="9:16" x14ac:dyDescent="0.35">
      <c r="I352" s="7"/>
      <c r="P352" s="7"/>
    </row>
    <row r="353" spans="9:16" x14ac:dyDescent="0.35">
      <c r="I353" s="7"/>
      <c r="P353" s="7"/>
    </row>
    <row r="354" spans="9:16" x14ac:dyDescent="0.35">
      <c r="I354" s="7"/>
      <c r="P354" s="7"/>
    </row>
    <row r="355" spans="9:16" x14ac:dyDescent="0.35">
      <c r="I355" s="7"/>
      <c r="P355" s="7"/>
    </row>
    <row r="356" spans="9:16" x14ac:dyDescent="0.35">
      <c r="I356" s="7"/>
      <c r="P356" s="7"/>
    </row>
    <row r="357" spans="9:16" x14ac:dyDescent="0.35">
      <c r="I357" s="7"/>
      <c r="P357" s="7"/>
    </row>
    <row r="358" spans="9:16" x14ac:dyDescent="0.35">
      <c r="I358" s="7"/>
      <c r="P358" s="7"/>
    </row>
    <row r="359" spans="9:16" x14ac:dyDescent="0.35">
      <c r="I359" s="7"/>
      <c r="P359" s="7"/>
    </row>
    <row r="360" spans="9:16" x14ac:dyDescent="0.35">
      <c r="I360" s="7"/>
      <c r="P360" s="7"/>
    </row>
    <row r="361" spans="9:16" x14ac:dyDescent="0.35">
      <c r="I361" s="7"/>
      <c r="P361" s="7"/>
    </row>
    <row r="362" spans="9:16" x14ac:dyDescent="0.35">
      <c r="I362" s="7"/>
      <c r="P362" s="7"/>
    </row>
    <row r="363" spans="9:16" x14ac:dyDescent="0.35">
      <c r="I363" s="7"/>
      <c r="P363" s="7"/>
    </row>
    <row r="364" spans="9:16" x14ac:dyDescent="0.35">
      <c r="I364" s="7"/>
      <c r="P364" s="7"/>
    </row>
    <row r="365" spans="9:16" x14ac:dyDescent="0.35">
      <c r="I365" s="7"/>
      <c r="P365" s="7"/>
    </row>
    <row r="366" spans="9:16" x14ac:dyDescent="0.35">
      <c r="I366" s="7"/>
      <c r="P366" s="7"/>
    </row>
    <row r="367" spans="9:16" x14ac:dyDescent="0.35">
      <c r="I367" s="7"/>
      <c r="P367" s="7"/>
    </row>
    <row r="368" spans="9:16" x14ac:dyDescent="0.35">
      <c r="I368" s="7"/>
      <c r="P368" s="7"/>
    </row>
    <row r="369" spans="9:16" x14ac:dyDescent="0.35">
      <c r="I369" s="7"/>
      <c r="P369" s="7"/>
    </row>
    <row r="370" spans="9:16" x14ac:dyDescent="0.35">
      <c r="I370" s="7"/>
      <c r="P370" s="7"/>
    </row>
    <row r="371" spans="9:16" x14ac:dyDescent="0.35">
      <c r="I371" s="7"/>
      <c r="P371" s="7"/>
    </row>
    <row r="372" spans="9:16" x14ac:dyDescent="0.35">
      <c r="I372" s="7"/>
      <c r="P372" s="7"/>
    </row>
    <row r="373" spans="9:16" x14ac:dyDescent="0.35">
      <c r="I373" s="7"/>
      <c r="P373" s="7"/>
    </row>
    <row r="374" spans="9:16" x14ac:dyDescent="0.35">
      <c r="I374" s="7"/>
      <c r="P374" s="7"/>
    </row>
    <row r="375" spans="9:16" x14ac:dyDescent="0.35">
      <c r="I375" s="7"/>
      <c r="P375" s="7"/>
    </row>
    <row r="376" spans="9:16" x14ac:dyDescent="0.35">
      <c r="I376" s="7"/>
      <c r="P376" s="7"/>
    </row>
    <row r="377" spans="9:16" x14ac:dyDescent="0.35">
      <c r="I377" s="7"/>
      <c r="P377" s="7"/>
    </row>
    <row r="378" spans="9:16" x14ac:dyDescent="0.35">
      <c r="I378" s="7"/>
      <c r="P378" s="7"/>
    </row>
    <row r="379" spans="9:16" x14ac:dyDescent="0.35">
      <c r="I379" s="7"/>
      <c r="P379" s="7"/>
    </row>
    <row r="380" spans="9:16" x14ac:dyDescent="0.35">
      <c r="I380" s="7"/>
      <c r="P380" s="7"/>
    </row>
    <row r="381" spans="9:16" x14ac:dyDescent="0.35">
      <c r="I381" s="7"/>
      <c r="P381" s="7"/>
    </row>
    <row r="382" spans="9:16" x14ac:dyDescent="0.35">
      <c r="I382" s="7"/>
      <c r="P382" s="7"/>
    </row>
    <row r="383" spans="9:16" x14ac:dyDescent="0.35">
      <c r="I383" s="7"/>
      <c r="P383" s="7"/>
    </row>
    <row r="384" spans="9:16" x14ac:dyDescent="0.35">
      <c r="I384" s="7"/>
      <c r="P384" s="7"/>
    </row>
    <row r="385" spans="9:16" x14ac:dyDescent="0.35">
      <c r="I385" s="7"/>
      <c r="P385" s="7"/>
    </row>
    <row r="386" spans="9:16" x14ac:dyDescent="0.35">
      <c r="I386" s="7"/>
      <c r="P386" s="7"/>
    </row>
    <row r="387" spans="9:16" x14ac:dyDescent="0.35">
      <c r="I387" s="7"/>
      <c r="P387" s="7"/>
    </row>
    <row r="388" spans="9:16" x14ac:dyDescent="0.35">
      <c r="I388" s="7"/>
      <c r="P388" s="7"/>
    </row>
    <row r="389" spans="9:16" x14ac:dyDescent="0.35">
      <c r="I389" s="7"/>
      <c r="P389" s="7"/>
    </row>
    <row r="390" spans="9:16" x14ac:dyDescent="0.35">
      <c r="I390" s="7"/>
      <c r="P390" s="7"/>
    </row>
    <row r="391" spans="9:16" x14ac:dyDescent="0.35">
      <c r="I391" s="7"/>
      <c r="P391" s="7"/>
    </row>
    <row r="392" spans="9:16" x14ac:dyDescent="0.35">
      <c r="I392" s="7"/>
      <c r="P392" s="7"/>
    </row>
    <row r="393" spans="9:16" x14ac:dyDescent="0.35">
      <c r="I393" s="7"/>
      <c r="P393" s="7"/>
    </row>
    <row r="394" spans="9:16" x14ac:dyDescent="0.35">
      <c r="I394" s="7"/>
      <c r="P394" s="7"/>
    </row>
    <row r="395" spans="9:16" x14ac:dyDescent="0.35">
      <c r="I395" s="7"/>
      <c r="P395" s="7"/>
    </row>
    <row r="396" spans="9:16" x14ac:dyDescent="0.35">
      <c r="I396" s="7"/>
      <c r="P396" s="7"/>
    </row>
    <row r="397" spans="9:16" x14ac:dyDescent="0.35">
      <c r="I397" s="7"/>
      <c r="P397" s="7"/>
    </row>
    <row r="398" spans="9:16" x14ac:dyDescent="0.35">
      <c r="I398" s="7"/>
      <c r="P398" s="7"/>
    </row>
    <row r="399" spans="9:16" x14ac:dyDescent="0.35">
      <c r="I399" s="7"/>
      <c r="P399" s="7"/>
    </row>
    <row r="400" spans="9:16" x14ac:dyDescent="0.35">
      <c r="I400" s="7"/>
      <c r="P400" s="7"/>
    </row>
    <row r="401" spans="9:16" x14ac:dyDescent="0.35">
      <c r="I401" s="7"/>
      <c r="P401" s="7"/>
    </row>
    <row r="402" spans="9:16" x14ac:dyDescent="0.35">
      <c r="I402" s="7"/>
      <c r="P402" s="7"/>
    </row>
    <row r="403" spans="9:16" x14ac:dyDescent="0.35">
      <c r="I403" s="7"/>
      <c r="P403" s="7"/>
    </row>
    <row r="404" spans="9:16" x14ac:dyDescent="0.35">
      <c r="I404" s="7"/>
      <c r="P404" s="7"/>
    </row>
    <row r="405" spans="9:16" x14ac:dyDescent="0.35">
      <c r="I405" s="7"/>
      <c r="P405" s="7"/>
    </row>
    <row r="406" spans="9:16" x14ac:dyDescent="0.35">
      <c r="I406" s="7"/>
      <c r="P406" s="7"/>
    </row>
    <row r="407" spans="9:16" x14ac:dyDescent="0.35">
      <c r="I407" s="7"/>
      <c r="P407" s="7"/>
    </row>
    <row r="408" spans="9:16" x14ac:dyDescent="0.35">
      <c r="I408" s="7"/>
      <c r="P408" s="7"/>
    </row>
    <row r="409" spans="9:16" x14ac:dyDescent="0.35">
      <c r="I409" s="7"/>
      <c r="P409" s="7"/>
    </row>
    <row r="410" spans="9:16" x14ac:dyDescent="0.35">
      <c r="I410" s="7"/>
      <c r="P410" s="7"/>
    </row>
    <row r="411" spans="9:16" x14ac:dyDescent="0.35">
      <c r="I411" s="7"/>
      <c r="P411" s="7"/>
    </row>
    <row r="412" spans="9:16" x14ac:dyDescent="0.35">
      <c r="I412" s="7"/>
      <c r="P412" s="7"/>
    </row>
    <row r="413" spans="9:16" x14ac:dyDescent="0.35">
      <c r="I413" s="7"/>
      <c r="P413" s="7"/>
    </row>
    <row r="414" spans="9:16" x14ac:dyDescent="0.35">
      <c r="I414" s="7"/>
      <c r="P414" s="7"/>
    </row>
    <row r="415" spans="9:16" x14ac:dyDescent="0.35">
      <c r="I415" s="7"/>
      <c r="P415" s="7"/>
    </row>
    <row r="416" spans="9:16" x14ac:dyDescent="0.35">
      <c r="I416" s="7"/>
      <c r="P416" s="7"/>
    </row>
    <row r="417" spans="9:16" x14ac:dyDescent="0.35">
      <c r="I417" s="7"/>
      <c r="P417" s="7"/>
    </row>
    <row r="418" spans="9:16" x14ac:dyDescent="0.35">
      <c r="I418" s="7"/>
      <c r="P418" s="7"/>
    </row>
    <row r="419" spans="9:16" x14ac:dyDescent="0.35">
      <c r="I419" s="7"/>
      <c r="P419" s="7"/>
    </row>
    <row r="420" spans="9:16" x14ac:dyDescent="0.35">
      <c r="I420" s="7"/>
      <c r="P420" s="7"/>
    </row>
    <row r="421" spans="9:16" x14ac:dyDescent="0.35">
      <c r="I421" s="7"/>
      <c r="P421" s="7"/>
    </row>
    <row r="422" spans="9:16" x14ac:dyDescent="0.35">
      <c r="I422" s="7"/>
      <c r="P422" s="7"/>
    </row>
    <row r="423" spans="9:16" x14ac:dyDescent="0.35">
      <c r="I423" s="7"/>
      <c r="P423" s="7"/>
    </row>
    <row r="424" spans="9:16" x14ac:dyDescent="0.35">
      <c r="I424" s="7"/>
      <c r="P424" s="7"/>
    </row>
    <row r="425" spans="9:16" x14ac:dyDescent="0.35">
      <c r="I425" s="7"/>
      <c r="P425" s="7"/>
    </row>
    <row r="426" spans="9:16" x14ac:dyDescent="0.35">
      <c r="I426" s="7"/>
      <c r="P426" s="7"/>
    </row>
    <row r="427" spans="9:16" x14ac:dyDescent="0.35">
      <c r="I427" s="7"/>
      <c r="P427" s="7"/>
    </row>
    <row r="428" spans="9:16" x14ac:dyDescent="0.35">
      <c r="I428" s="7"/>
      <c r="P428" s="7"/>
    </row>
    <row r="429" spans="9:16" x14ac:dyDescent="0.35">
      <c r="I429" s="7"/>
      <c r="P429" s="7"/>
    </row>
    <row r="430" spans="9:16" x14ac:dyDescent="0.35">
      <c r="I430" s="7"/>
      <c r="P430" s="7"/>
    </row>
    <row r="431" spans="9:16" x14ac:dyDescent="0.35">
      <c r="I431" s="7"/>
      <c r="P431" s="7"/>
    </row>
    <row r="432" spans="9:16" x14ac:dyDescent="0.35">
      <c r="I432" s="7"/>
      <c r="P432" s="7"/>
    </row>
    <row r="433" spans="9:16" x14ac:dyDescent="0.35">
      <c r="I433" s="7"/>
      <c r="P433" s="7"/>
    </row>
    <row r="434" spans="9:16" x14ac:dyDescent="0.35">
      <c r="I434" s="7"/>
      <c r="P434" s="7"/>
    </row>
    <row r="435" spans="9:16" x14ac:dyDescent="0.35">
      <c r="I435" s="7"/>
      <c r="P435" s="7"/>
    </row>
    <row r="436" spans="9:16" x14ac:dyDescent="0.35">
      <c r="I436" s="7"/>
      <c r="P436" s="7"/>
    </row>
    <row r="437" spans="9:16" x14ac:dyDescent="0.35">
      <c r="I437" s="7"/>
      <c r="P437" s="7"/>
    </row>
    <row r="438" spans="9:16" x14ac:dyDescent="0.35">
      <c r="I438" s="7"/>
      <c r="P438" s="7"/>
    </row>
    <row r="439" spans="9:16" x14ac:dyDescent="0.35">
      <c r="I439" s="7"/>
      <c r="P439" s="7"/>
    </row>
    <row r="440" spans="9:16" x14ac:dyDescent="0.35">
      <c r="I440" s="7"/>
      <c r="P440" s="7"/>
    </row>
    <row r="441" spans="9:16" x14ac:dyDescent="0.35">
      <c r="I441" s="7"/>
      <c r="P441" s="7"/>
    </row>
    <row r="442" spans="9:16" x14ac:dyDescent="0.35">
      <c r="I442" s="7"/>
      <c r="P442" s="7"/>
    </row>
    <row r="443" spans="9:16" x14ac:dyDescent="0.35">
      <c r="I443" s="7"/>
      <c r="P443" s="7"/>
    </row>
    <row r="444" spans="9:16" x14ac:dyDescent="0.35">
      <c r="I444" s="7"/>
      <c r="P444" s="7"/>
    </row>
    <row r="445" spans="9:16" x14ac:dyDescent="0.35">
      <c r="I445" s="7"/>
      <c r="P445" s="7"/>
    </row>
    <row r="446" spans="9:16" x14ac:dyDescent="0.35">
      <c r="I446" s="7"/>
      <c r="P446" s="7"/>
    </row>
    <row r="447" spans="9:16" x14ac:dyDescent="0.35">
      <c r="I447" s="7"/>
      <c r="P447" s="7"/>
    </row>
    <row r="448" spans="9:16" x14ac:dyDescent="0.35">
      <c r="I448" s="7"/>
      <c r="P448" s="7"/>
    </row>
    <row r="449" spans="9:16" x14ac:dyDescent="0.35">
      <c r="I449" s="7"/>
      <c r="P449" s="7"/>
    </row>
    <row r="450" spans="9:16" x14ac:dyDescent="0.35">
      <c r="I450" s="7"/>
      <c r="P450" s="7"/>
    </row>
    <row r="451" spans="9:16" x14ac:dyDescent="0.35">
      <c r="I451" s="7"/>
      <c r="P451" s="7"/>
    </row>
    <row r="452" spans="9:16" x14ac:dyDescent="0.35">
      <c r="I452" s="7"/>
      <c r="P452" s="7"/>
    </row>
    <row r="453" spans="9:16" x14ac:dyDescent="0.35">
      <c r="I453" s="7"/>
      <c r="P453" s="7"/>
    </row>
    <row r="454" spans="9:16" x14ac:dyDescent="0.35">
      <c r="I454" s="7"/>
      <c r="P454" s="7"/>
    </row>
    <row r="455" spans="9:16" x14ac:dyDescent="0.35">
      <c r="I455" s="7"/>
      <c r="P455" s="7"/>
    </row>
    <row r="456" spans="9:16" x14ac:dyDescent="0.35">
      <c r="I456" s="7"/>
      <c r="P456" s="7"/>
    </row>
    <row r="457" spans="9:16" x14ac:dyDescent="0.35">
      <c r="I457" s="7"/>
      <c r="P457" s="7"/>
    </row>
    <row r="458" spans="9:16" x14ac:dyDescent="0.35">
      <c r="I458" s="7"/>
      <c r="P458" s="7"/>
    </row>
    <row r="459" spans="9:16" x14ac:dyDescent="0.35">
      <c r="I459" s="7"/>
      <c r="P459" s="7"/>
    </row>
    <row r="460" spans="9:16" x14ac:dyDescent="0.35">
      <c r="I460" s="7"/>
      <c r="P460" s="7"/>
    </row>
    <row r="461" spans="9:16" x14ac:dyDescent="0.35">
      <c r="I461" s="7"/>
      <c r="P461" s="7"/>
    </row>
    <row r="462" spans="9:16" x14ac:dyDescent="0.35">
      <c r="I462" s="7"/>
      <c r="P462" s="7"/>
    </row>
    <row r="463" spans="9:16" x14ac:dyDescent="0.35">
      <c r="I463" s="7"/>
      <c r="P463" s="7"/>
    </row>
    <row r="464" spans="9:16" x14ac:dyDescent="0.35">
      <c r="I464" s="7"/>
      <c r="P464" s="7"/>
    </row>
    <row r="465" spans="9:16" x14ac:dyDescent="0.35">
      <c r="I465" s="7"/>
      <c r="P465" s="7"/>
    </row>
    <row r="466" spans="9:16" x14ac:dyDescent="0.35">
      <c r="I466" s="7"/>
      <c r="P466" s="7"/>
    </row>
    <row r="467" spans="9:16" x14ac:dyDescent="0.35">
      <c r="I467" s="7"/>
      <c r="P467" s="7"/>
    </row>
    <row r="468" spans="9:16" x14ac:dyDescent="0.35">
      <c r="I468" s="7"/>
      <c r="P468" s="7"/>
    </row>
    <row r="469" spans="9:16" x14ac:dyDescent="0.35">
      <c r="I469" s="7"/>
      <c r="P469" s="7"/>
    </row>
    <row r="470" spans="9:16" x14ac:dyDescent="0.35">
      <c r="I470" s="7"/>
      <c r="P470" s="7"/>
    </row>
    <row r="471" spans="9:16" x14ac:dyDescent="0.35">
      <c r="I471" s="7"/>
      <c r="P471" s="7"/>
    </row>
    <row r="472" spans="9:16" x14ac:dyDescent="0.35">
      <c r="I472" s="7"/>
      <c r="P472" s="7"/>
    </row>
    <row r="473" spans="9:16" x14ac:dyDescent="0.35">
      <c r="I473" s="7"/>
      <c r="P473" s="7"/>
    </row>
    <row r="474" spans="9:16" x14ac:dyDescent="0.35">
      <c r="I474" s="7"/>
      <c r="P474" s="7"/>
    </row>
    <row r="475" spans="9:16" x14ac:dyDescent="0.35">
      <c r="I475" s="7"/>
      <c r="P475" s="7"/>
    </row>
    <row r="476" spans="9:16" x14ac:dyDescent="0.35">
      <c r="I476" s="7"/>
      <c r="P476" s="7"/>
    </row>
    <row r="477" spans="9:16" x14ac:dyDescent="0.35">
      <c r="I477" s="7"/>
      <c r="P477" s="7"/>
    </row>
    <row r="478" spans="9:16" x14ac:dyDescent="0.35">
      <c r="I478" s="7"/>
      <c r="P478" s="7"/>
    </row>
    <row r="479" spans="9:16" x14ac:dyDescent="0.35">
      <c r="I479" s="7"/>
      <c r="P479" s="7"/>
    </row>
    <row r="480" spans="9:16" x14ac:dyDescent="0.35">
      <c r="I480" s="7"/>
      <c r="P480" s="7"/>
    </row>
    <row r="481" spans="9:16" x14ac:dyDescent="0.35">
      <c r="I481" s="7"/>
      <c r="P481" s="7"/>
    </row>
    <row r="482" spans="9:16" x14ac:dyDescent="0.35">
      <c r="I482" s="7"/>
      <c r="P482" s="7"/>
    </row>
    <row r="483" spans="9:16" x14ac:dyDescent="0.35">
      <c r="I483" s="7"/>
      <c r="P483" s="7"/>
    </row>
    <row r="484" spans="9:16" x14ac:dyDescent="0.35">
      <c r="I484" s="7"/>
      <c r="P484" s="7"/>
    </row>
    <row r="485" spans="9:16" x14ac:dyDescent="0.35">
      <c r="I485" s="7"/>
      <c r="P485" s="7"/>
    </row>
    <row r="486" spans="9:16" x14ac:dyDescent="0.35">
      <c r="I486" s="7"/>
      <c r="P486" s="7"/>
    </row>
    <row r="487" spans="9:16" x14ac:dyDescent="0.35">
      <c r="I487" s="7"/>
      <c r="P487" s="7"/>
    </row>
    <row r="488" spans="9:16" x14ac:dyDescent="0.35">
      <c r="I488" s="7"/>
      <c r="P488" s="7"/>
    </row>
    <row r="489" spans="9:16" x14ac:dyDescent="0.35">
      <c r="I489" s="7"/>
      <c r="P489" s="7"/>
    </row>
    <row r="490" spans="9:16" x14ac:dyDescent="0.35">
      <c r="I490" s="7"/>
      <c r="P490" s="7"/>
    </row>
    <row r="491" spans="9:16" x14ac:dyDescent="0.35">
      <c r="I491" s="7"/>
      <c r="P491" s="7"/>
    </row>
    <row r="492" spans="9:16" x14ac:dyDescent="0.35">
      <c r="I492" s="7"/>
      <c r="P492" s="7"/>
    </row>
    <row r="493" spans="9:16" x14ac:dyDescent="0.35">
      <c r="I493" s="7"/>
      <c r="P493" s="7"/>
    </row>
    <row r="494" spans="9:16" x14ac:dyDescent="0.35">
      <c r="I494" s="7"/>
      <c r="P494" s="7"/>
    </row>
    <row r="495" spans="9:16" x14ac:dyDescent="0.35">
      <c r="I495" s="7"/>
      <c r="P495" s="7"/>
    </row>
    <row r="496" spans="9:16" x14ac:dyDescent="0.35">
      <c r="I496" s="7"/>
      <c r="P496" s="7"/>
    </row>
    <row r="497" spans="9:16" x14ac:dyDescent="0.35">
      <c r="I497" s="7"/>
      <c r="P497" s="7"/>
    </row>
    <row r="498" spans="9:16" x14ac:dyDescent="0.35">
      <c r="I498" s="7"/>
      <c r="P498" s="7"/>
    </row>
    <row r="499" spans="9:16" x14ac:dyDescent="0.35">
      <c r="I499" s="7"/>
      <c r="P499" s="7"/>
    </row>
    <row r="500" spans="9:16" x14ac:dyDescent="0.35">
      <c r="I500" s="7"/>
      <c r="P500" s="7"/>
    </row>
    <row r="501" spans="9:16" x14ac:dyDescent="0.35">
      <c r="I501" s="7"/>
      <c r="P501" s="7"/>
    </row>
    <row r="502" spans="9:16" x14ac:dyDescent="0.35">
      <c r="I502" s="7"/>
      <c r="P502" s="7"/>
    </row>
    <row r="503" spans="9:16" x14ac:dyDescent="0.35">
      <c r="I503" s="7"/>
      <c r="P503" s="7"/>
    </row>
    <row r="504" spans="9:16" x14ac:dyDescent="0.35">
      <c r="I504" s="7"/>
      <c r="P504" s="7"/>
    </row>
    <row r="505" spans="9:16" x14ac:dyDescent="0.35">
      <c r="I505" s="7"/>
      <c r="P505" s="7"/>
    </row>
    <row r="506" spans="9:16" x14ac:dyDescent="0.35">
      <c r="I506" s="7"/>
      <c r="P506" s="7"/>
    </row>
    <row r="507" spans="9:16" x14ac:dyDescent="0.35">
      <c r="I507" s="7"/>
      <c r="P507" s="7"/>
    </row>
    <row r="508" spans="9:16" x14ac:dyDescent="0.35">
      <c r="I508" s="7"/>
      <c r="P508" s="7"/>
    </row>
    <row r="509" spans="9:16" x14ac:dyDescent="0.35">
      <c r="I509" s="7"/>
      <c r="P509" s="7"/>
    </row>
    <row r="510" spans="9:16" x14ac:dyDescent="0.35">
      <c r="I510" s="7"/>
      <c r="P510" s="7"/>
    </row>
    <row r="511" spans="9:16" x14ac:dyDescent="0.35">
      <c r="I511" s="7"/>
      <c r="P511" s="7"/>
    </row>
    <row r="512" spans="9:16" x14ac:dyDescent="0.35">
      <c r="I512" s="7"/>
      <c r="P512" s="7"/>
    </row>
    <row r="513" spans="9:16" x14ac:dyDescent="0.35">
      <c r="I513" s="7"/>
      <c r="P513" s="7"/>
    </row>
    <row r="514" spans="9:16" x14ac:dyDescent="0.35">
      <c r="I514" s="7"/>
      <c r="P514" s="7"/>
    </row>
    <row r="515" spans="9:16" x14ac:dyDescent="0.35">
      <c r="I515" s="7"/>
      <c r="P515" s="7"/>
    </row>
    <row r="516" spans="9:16" x14ac:dyDescent="0.35">
      <c r="I516" s="7"/>
      <c r="P516" s="7"/>
    </row>
    <row r="517" spans="9:16" x14ac:dyDescent="0.35">
      <c r="I517" s="7"/>
      <c r="P517" s="7"/>
    </row>
    <row r="518" spans="9:16" x14ac:dyDescent="0.35">
      <c r="I518" s="7"/>
      <c r="P518" s="7"/>
    </row>
    <row r="519" spans="9:16" x14ac:dyDescent="0.35">
      <c r="I519" s="7"/>
      <c r="P519" s="7"/>
    </row>
    <row r="520" spans="9:16" x14ac:dyDescent="0.35">
      <c r="I520" s="7"/>
      <c r="P520" s="7"/>
    </row>
    <row r="521" spans="9:16" x14ac:dyDescent="0.35">
      <c r="I521" s="7"/>
      <c r="P521" s="7"/>
    </row>
    <row r="522" spans="9:16" x14ac:dyDescent="0.35">
      <c r="I522" s="7"/>
      <c r="P522" s="7"/>
    </row>
    <row r="523" spans="9:16" x14ac:dyDescent="0.35">
      <c r="I523" s="7"/>
      <c r="P523" s="7"/>
    </row>
    <row r="524" spans="9:16" x14ac:dyDescent="0.35">
      <c r="I524" s="7"/>
      <c r="P524" s="7"/>
    </row>
    <row r="525" spans="9:16" x14ac:dyDescent="0.35">
      <c r="I525" s="7"/>
      <c r="P525" s="7"/>
    </row>
    <row r="526" spans="9:16" x14ac:dyDescent="0.35">
      <c r="I526" s="7"/>
      <c r="P526" s="7"/>
    </row>
    <row r="527" spans="9:16" x14ac:dyDescent="0.35">
      <c r="I527" s="7"/>
      <c r="P527" s="7"/>
    </row>
    <row r="528" spans="9:16" x14ac:dyDescent="0.35">
      <c r="I528" s="7"/>
      <c r="P528" s="7"/>
    </row>
    <row r="529" spans="9:16" x14ac:dyDescent="0.35">
      <c r="I529" s="7"/>
      <c r="P529" s="7"/>
    </row>
    <row r="530" spans="9:16" x14ac:dyDescent="0.35">
      <c r="I530" s="7"/>
      <c r="P530" s="7"/>
    </row>
    <row r="531" spans="9:16" x14ac:dyDescent="0.35">
      <c r="I531" s="7"/>
      <c r="P531" s="7"/>
    </row>
    <row r="532" spans="9:16" x14ac:dyDescent="0.35">
      <c r="I532" s="7"/>
      <c r="P532" s="7"/>
    </row>
    <row r="533" spans="9:16" x14ac:dyDescent="0.35">
      <c r="I533" s="7"/>
      <c r="P533" s="7"/>
    </row>
    <row r="534" spans="9:16" x14ac:dyDescent="0.35">
      <c r="I534" s="7"/>
      <c r="P534" s="7"/>
    </row>
    <row r="535" spans="9:16" x14ac:dyDescent="0.35">
      <c r="I535" s="7"/>
      <c r="P535" s="7"/>
    </row>
    <row r="536" spans="9:16" x14ac:dyDescent="0.35">
      <c r="I536" s="7"/>
      <c r="P536" s="7"/>
    </row>
    <row r="537" spans="9:16" x14ac:dyDescent="0.35">
      <c r="I537" s="7"/>
      <c r="P537" s="7"/>
    </row>
    <row r="538" spans="9:16" x14ac:dyDescent="0.35">
      <c r="I538" s="7"/>
      <c r="P538" s="7"/>
    </row>
    <row r="539" spans="9:16" x14ac:dyDescent="0.35">
      <c r="I539" s="7"/>
      <c r="P539" s="7"/>
    </row>
    <row r="540" spans="9:16" x14ac:dyDescent="0.35">
      <c r="I540" s="7"/>
      <c r="P540" s="7"/>
    </row>
    <row r="541" spans="9:16" x14ac:dyDescent="0.35">
      <c r="I541" s="7"/>
      <c r="P541" s="7"/>
    </row>
    <row r="542" spans="9:16" x14ac:dyDescent="0.35">
      <c r="I542" s="7"/>
      <c r="P542" s="7"/>
    </row>
    <row r="543" spans="9:16" x14ac:dyDescent="0.35">
      <c r="I543" s="7"/>
      <c r="P543" s="7"/>
    </row>
    <row r="544" spans="9:16" x14ac:dyDescent="0.35">
      <c r="I544" s="7"/>
      <c r="P544" s="7"/>
    </row>
    <row r="545" spans="9:16" x14ac:dyDescent="0.35">
      <c r="I545" s="7"/>
      <c r="P545" s="7"/>
    </row>
    <row r="546" spans="9:16" x14ac:dyDescent="0.35">
      <c r="I546" s="7"/>
      <c r="P546" s="7"/>
    </row>
    <row r="547" spans="9:16" x14ac:dyDescent="0.35">
      <c r="I547" s="7"/>
      <c r="P547" s="7"/>
    </row>
    <row r="548" spans="9:16" x14ac:dyDescent="0.35">
      <c r="I548" s="7"/>
      <c r="P548" s="7"/>
    </row>
    <row r="549" spans="9:16" x14ac:dyDescent="0.35">
      <c r="I549" s="7"/>
      <c r="P549" s="7"/>
    </row>
    <row r="550" spans="9:16" x14ac:dyDescent="0.35">
      <c r="I550" s="7"/>
      <c r="P550" s="7"/>
    </row>
    <row r="551" spans="9:16" x14ac:dyDescent="0.35">
      <c r="I551" s="7"/>
      <c r="P551" s="7"/>
    </row>
    <row r="552" spans="9:16" x14ac:dyDescent="0.35">
      <c r="I552" s="7"/>
      <c r="P552" s="7"/>
    </row>
    <row r="553" spans="9:16" x14ac:dyDescent="0.35">
      <c r="I553" s="7"/>
      <c r="P553" s="7"/>
    </row>
    <row r="554" spans="9:16" x14ac:dyDescent="0.35">
      <c r="I554" s="7"/>
      <c r="P554" s="7"/>
    </row>
    <row r="555" spans="9:16" x14ac:dyDescent="0.35">
      <c r="I555" s="7"/>
      <c r="P555" s="7"/>
    </row>
    <row r="556" spans="9:16" x14ac:dyDescent="0.35">
      <c r="I556" s="7"/>
      <c r="P556" s="7"/>
    </row>
    <row r="557" spans="9:16" x14ac:dyDescent="0.35">
      <c r="I557" s="7"/>
      <c r="P557" s="7"/>
    </row>
    <row r="558" spans="9:16" x14ac:dyDescent="0.35">
      <c r="I558" s="7"/>
      <c r="P558" s="7"/>
    </row>
    <row r="559" spans="9:16" x14ac:dyDescent="0.35">
      <c r="I559" s="7"/>
      <c r="P559" s="7"/>
    </row>
    <row r="560" spans="9:16" x14ac:dyDescent="0.35">
      <c r="I560" s="7"/>
      <c r="P560" s="7"/>
    </row>
    <row r="561" spans="9:16" x14ac:dyDescent="0.35">
      <c r="I561" s="7"/>
      <c r="P561" s="7"/>
    </row>
    <row r="562" spans="9:16" x14ac:dyDescent="0.35">
      <c r="I562" s="7"/>
      <c r="P562" s="7"/>
    </row>
    <row r="563" spans="9:16" x14ac:dyDescent="0.35">
      <c r="I563" s="7"/>
      <c r="P563" s="7"/>
    </row>
    <row r="564" spans="9:16" x14ac:dyDescent="0.35">
      <c r="I564" s="7"/>
      <c r="P564" s="7"/>
    </row>
    <row r="565" spans="9:16" x14ac:dyDescent="0.35">
      <c r="I565" s="7"/>
      <c r="P565" s="7"/>
    </row>
    <row r="566" spans="9:16" x14ac:dyDescent="0.35">
      <c r="I566" s="7"/>
      <c r="P566" s="7"/>
    </row>
    <row r="567" spans="9:16" x14ac:dyDescent="0.35">
      <c r="I567" s="7"/>
      <c r="P567" s="7"/>
    </row>
    <row r="568" spans="9:16" x14ac:dyDescent="0.35">
      <c r="I568" s="7"/>
      <c r="P568" s="7"/>
    </row>
    <row r="569" spans="9:16" x14ac:dyDescent="0.35">
      <c r="I569" s="7"/>
      <c r="P569" s="7"/>
    </row>
    <row r="570" spans="9:16" x14ac:dyDescent="0.35">
      <c r="I570" s="7"/>
      <c r="P570" s="7"/>
    </row>
    <row r="571" spans="9:16" x14ac:dyDescent="0.35">
      <c r="I571" s="7"/>
      <c r="P571" s="7"/>
    </row>
    <row r="572" spans="9:16" x14ac:dyDescent="0.35">
      <c r="I572" s="7"/>
      <c r="P572" s="7"/>
    </row>
    <row r="573" spans="9:16" x14ac:dyDescent="0.35">
      <c r="I573" s="7"/>
      <c r="P573" s="7"/>
    </row>
    <row r="574" spans="9:16" x14ac:dyDescent="0.35">
      <c r="I574" s="7"/>
      <c r="P574" s="7"/>
    </row>
    <row r="575" spans="9:16" x14ac:dyDescent="0.35">
      <c r="I575" s="7"/>
      <c r="P575" s="7"/>
    </row>
    <row r="576" spans="9:16" x14ac:dyDescent="0.35">
      <c r="I576" s="7"/>
      <c r="P576" s="7"/>
    </row>
    <row r="577" spans="9:16" x14ac:dyDescent="0.35">
      <c r="I577" s="7"/>
      <c r="P577" s="7"/>
    </row>
    <row r="578" spans="9:16" x14ac:dyDescent="0.35">
      <c r="I578" s="7"/>
      <c r="P578" s="7"/>
    </row>
    <row r="579" spans="9:16" x14ac:dyDescent="0.35">
      <c r="I579" s="7"/>
      <c r="P579" s="7"/>
    </row>
    <row r="580" spans="9:16" x14ac:dyDescent="0.35">
      <c r="I580" s="7"/>
      <c r="P580" s="7"/>
    </row>
    <row r="581" spans="9:16" x14ac:dyDescent="0.35">
      <c r="I581" s="7"/>
      <c r="P581" s="7"/>
    </row>
    <row r="582" spans="9:16" x14ac:dyDescent="0.35">
      <c r="I582" s="7"/>
      <c r="P582" s="7"/>
    </row>
    <row r="583" spans="9:16" x14ac:dyDescent="0.35">
      <c r="I583" s="7"/>
      <c r="P583" s="7"/>
    </row>
    <row r="584" spans="9:16" x14ac:dyDescent="0.35">
      <c r="I584" s="7"/>
      <c r="P584" s="7"/>
    </row>
    <row r="585" spans="9:16" x14ac:dyDescent="0.35">
      <c r="I585" s="7"/>
      <c r="P585" s="7"/>
    </row>
    <row r="586" spans="9:16" x14ac:dyDescent="0.35">
      <c r="I586" s="7"/>
      <c r="P586" s="7"/>
    </row>
    <row r="587" spans="9:16" x14ac:dyDescent="0.35">
      <c r="I587" s="7"/>
      <c r="P587" s="7"/>
    </row>
    <row r="588" spans="9:16" x14ac:dyDescent="0.35">
      <c r="I588" s="7"/>
      <c r="P588" s="7"/>
    </row>
    <row r="589" spans="9:16" x14ac:dyDescent="0.35">
      <c r="I589" s="7"/>
      <c r="P589" s="7"/>
    </row>
    <row r="590" spans="9:16" x14ac:dyDescent="0.35">
      <c r="I590" s="7"/>
      <c r="P590" s="7"/>
    </row>
    <row r="591" spans="9:16" x14ac:dyDescent="0.35">
      <c r="I591" s="7"/>
      <c r="P591" s="7"/>
    </row>
    <row r="592" spans="9:16" x14ac:dyDescent="0.35">
      <c r="I592" s="7"/>
      <c r="P592" s="7"/>
    </row>
    <row r="593" spans="9:16" x14ac:dyDescent="0.35">
      <c r="I593" s="7"/>
      <c r="P593" s="7"/>
    </row>
    <row r="594" spans="9:16" x14ac:dyDescent="0.35">
      <c r="I594" s="7"/>
      <c r="P594" s="7"/>
    </row>
    <row r="595" spans="9:16" x14ac:dyDescent="0.35">
      <c r="I595" s="7"/>
      <c r="P595" s="7"/>
    </row>
    <row r="596" spans="9:16" x14ac:dyDescent="0.35">
      <c r="I596" s="7"/>
      <c r="P596" s="7"/>
    </row>
    <row r="597" spans="9:16" x14ac:dyDescent="0.35">
      <c r="I597" s="7"/>
      <c r="P597" s="7"/>
    </row>
    <row r="598" spans="9:16" x14ac:dyDescent="0.35">
      <c r="I598" s="7"/>
      <c r="P598" s="7"/>
    </row>
    <row r="599" spans="9:16" x14ac:dyDescent="0.35">
      <c r="I599" s="7"/>
      <c r="P599" s="7"/>
    </row>
    <row r="600" spans="9:16" x14ac:dyDescent="0.35">
      <c r="I600" s="7"/>
      <c r="P600" s="7"/>
    </row>
    <row r="601" spans="9:16" x14ac:dyDescent="0.35">
      <c r="I601" s="7"/>
      <c r="P601" s="7"/>
    </row>
    <row r="602" spans="9:16" x14ac:dyDescent="0.35">
      <c r="I602" s="7"/>
      <c r="P602" s="7"/>
    </row>
    <row r="603" spans="9:16" x14ac:dyDescent="0.35">
      <c r="I603" s="7"/>
      <c r="P603" s="7"/>
    </row>
    <row r="604" spans="9:16" x14ac:dyDescent="0.35">
      <c r="I604" s="7"/>
      <c r="P604" s="7"/>
    </row>
    <row r="605" spans="9:16" x14ac:dyDescent="0.35">
      <c r="I605" s="7"/>
      <c r="P605" s="7"/>
    </row>
    <row r="606" spans="9:16" x14ac:dyDescent="0.35">
      <c r="I606" s="7"/>
      <c r="P606" s="7"/>
    </row>
    <row r="607" spans="9:16" x14ac:dyDescent="0.35">
      <c r="I607" s="7"/>
      <c r="P607" s="7"/>
    </row>
    <row r="608" spans="9:16" x14ac:dyDescent="0.35">
      <c r="I608" s="7"/>
      <c r="P608" s="7"/>
    </row>
    <row r="609" spans="9:16" x14ac:dyDescent="0.35">
      <c r="I609" s="7"/>
      <c r="P609" s="7"/>
    </row>
    <row r="610" spans="9:16" x14ac:dyDescent="0.35">
      <c r="I610" s="7"/>
      <c r="P610" s="7"/>
    </row>
    <row r="611" spans="9:16" x14ac:dyDescent="0.35">
      <c r="I611" s="7"/>
      <c r="P611" s="7"/>
    </row>
    <row r="612" spans="9:16" x14ac:dyDescent="0.35">
      <c r="I612" s="7"/>
      <c r="P612" s="7"/>
    </row>
    <row r="613" spans="9:16" x14ac:dyDescent="0.35">
      <c r="I613" s="7"/>
      <c r="P613" s="7"/>
    </row>
    <row r="614" spans="9:16" x14ac:dyDescent="0.35">
      <c r="I614" s="7"/>
      <c r="P614" s="7"/>
    </row>
    <row r="615" spans="9:16" x14ac:dyDescent="0.35">
      <c r="I615" s="7"/>
      <c r="P615" s="7"/>
    </row>
    <row r="616" spans="9:16" x14ac:dyDescent="0.35">
      <c r="I616" s="7"/>
      <c r="P616" s="7"/>
    </row>
    <row r="617" spans="9:16" x14ac:dyDescent="0.35">
      <c r="I617" s="7"/>
      <c r="P617" s="7"/>
    </row>
    <row r="618" spans="9:16" x14ac:dyDescent="0.35">
      <c r="I618" s="7"/>
      <c r="P618" s="7"/>
    </row>
    <row r="619" spans="9:16" x14ac:dyDescent="0.35">
      <c r="I619" s="7"/>
      <c r="P619" s="7"/>
    </row>
    <row r="620" spans="9:16" x14ac:dyDescent="0.35">
      <c r="I620" s="7"/>
      <c r="P620" s="7"/>
    </row>
    <row r="621" spans="9:16" x14ac:dyDescent="0.35">
      <c r="I621" s="7"/>
      <c r="P621" s="7"/>
    </row>
    <row r="622" spans="9:16" x14ac:dyDescent="0.35">
      <c r="I622" s="7"/>
      <c r="P622" s="7"/>
    </row>
    <row r="623" spans="9:16" x14ac:dyDescent="0.35">
      <c r="I623" s="7"/>
      <c r="P623" s="7"/>
    </row>
    <row r="624" spans="9:16" x14ac:dyDescent="0.35">
      <c r="I624" s="7"/>
      <c r="P624" s="7"/>
    </row>
    <row r="625" spans="9:16" x14ac:dyDescent="0.35">
      <c r="I625" s="7"/>
      <c r="P625" s="7"/>
    </row>
    <row r="626" spans="9:16" x14ac:dyDescent="0.35">
      <c r="I626" s="7"/>
      <c r="P626" s="7"/>
    </row>
    <row r="627" spans="9:16" x14ac:dyDescent="0.35">
      <c r="I627" s="7"/>
      <c r="P627" s="7"/>
    </row>
    <row r="628" spans="9:16" x14ac:dyDescent="0.35">
      <c r="I628" s="7"/>
      <c r="P628" s="7"/>
    </row>
    <row r="629" spans="9:16" x14ac:dyDescent="0.35">
      <c r="I629" s="7"/>
      <c r="P629" s="7"/>
    </row>
    <row r="630" spans="9:16" x14ac:dyDescent="0.35">
      <c r="I630" s="7"/>
      <c r="P630" s="7"/>
    </row>
    <row r="631" spans="9:16" x14ac:dyDescent="0.35">
      <c r="I631" s="7"/>
      <c r="P631" s="7"/>
    </row>
    <row r="632" spans="9:16" x14ac:dyDescent="0.35">
      <c r="I632" s="7"/>
      <c r="P632" s="7"/>
    </row>
    <row r="633" spans="9:16" x14ac:dyDescent="0.35">
      <c r="I633" s="7"/>
      <c r="P633" s="7"/>
    </row>
    <row r="634" spans="9:16" x14ac:dyDescent="0.35">
      <c r="I634" s="7"/>
      <c r="P634" s="7"/>
    </row>
    <row r="635" spans="9:16" x14ac:dyDescent="0.35">
      <c r="I635" s="7"/>
      <c r="P635" s="7"/>
    </row>
    <row r="636" spans="9:16" x14ac:dyDescent="0.35">
      <c r="I636" s="7"/>
      <c r="P636" s="7"/>
    </row>
    <row r="637" spans="9:16" x14ac:dyDescent="0.35">
      <c r="I637" s="7"/>
      <c r="P637" s="7"/>
    </row>
    <row r="638" spans="9:16" x14ac:dyDescent="0.35">
      <c r="I638" s="7"/>
      <c r="P638" s="7"/>
    </row>
    <row r="639" spans="9:16" x14ac:dyDescent="0.35">
      <c r="I639" s="7"/>
      <c r="P639" s="7"/>
    </row>
    <row r="640" spans="9:16" x14ac:dyDescent="0.35">
      <c r="I640" s="7"/>
      <c r="P640" s="7"/>
    </row>
    <row r="641" spans="9:16" x14ac:dyDescent="0.35">
      <c r="I641" s="7"/>
      <c r="P641" s="7"/>
    </row>
    <row r="642" spans="9:16" x14ac:dyDescent="0.35">
      <c r="I642" s="7"/>
      <c r="P642" s="7"/>
    </row>
    <row r="643" spans="9:16" x14ac:dyDescent="0.35">
      <c r="I643" s="7"/>
      <c r="P643" s="7"/>
    </row>
    <row r="644" spans="9:16" x14ac:dyDescent="0.35">
      <c r="I644" s="7"/>
      <c r="P644" s="7"/>
    </row>
    <row r="645" spans="9:16" x14ac:dyDescent="0.35">
      <c r="I645" s="7"/>
      <c r="P645" s="7"/>
    </row>
    <row r="646" spans="9:16" x14ac:dyDescent="0.35">
      <c r="I646" s="7"/>
      <c r="P646" s="7"/>
    </row>
    <row r="647" spans="9:16" x14ac:dyDescent="0.35">
      <c r="I647" s="7"/>
      <c r="P647" s="7"/>
    </row>
    <row r="648" spans="9:16" x14ac:dyDescent="0.35">
      <c r="I648" s="7"/>
      <c r="P648" s="7"/>
    </row>
    <row r="649" spans="9:16" x14ac:dyDescent="0.35">
      <c r="I649" s="7"/>
      <c r="P649" s="7"/>
    </row>
    <row r="650" spans="9:16" x14ac:dyDescent="0.35">
      <c r="I650" s="7"/>
      <c r="P650" s="7"/>
    </row>
    <row r="651" spans="9:16" x14ac:dyDescent="0.35">
      <c r="I651" s="7"/>
      <c r="P651" s="7"/>
    </row>
    <row r="652" spans="9:16" x14ac:dyDescent="0.35">
      <c r="I652" s="7"/>
      <c r="P652" s="7"/>
    </row>
    <row r="653" spans="9:16" x14ac:dyDescent="0.35">
      <c r="I653" s="7"/>
      <c r="P653" s="7"/>
    </row>
    <row r="654" spans="9:16" x14ac:dyDescent="0.35">
      <c r="I654" s="7"/>
      <c r="P654" s="7"/>
    </row>
    <row r="655" spans="9:16" x14ac:dyDescent="0.35">
      <c r="I655" s="7"/>
      <c r="P655" s="7"/>
    </row>
    <row r="656" spans="9:16" x14ac:dyDescent="0.35">
      <c r="I656" s="7"/>
      <c r="P656" s="7"/>
    </row>
    <row r="657" spans="9:16" x14ac:dyDescent="0.35">
      <c r="I657" s="7"/>
      <c r="P657" s="7"/>
    </row>
    <row r="658" spans="9:16" x14ac:dyDescent="0.35">
      <c r="I658" s="7"/>
      <c r="P658" s="7"/>
    </row>
    <row r="659" spans="9:16" x14ac:dyDescent="0.35">
      <c r="I659" s="7"/>
      <c r="P659" s="7"/>
    </row>
    <row r="660" spans="9:16" x14ac:dyDescent="0.35">
      <c r="I660" s="7"/>
      <c r="P660" s="7"/>
    </row>
    <row r="661" spans="9:16" x14ac:dyDescent="0.35">
      <c r="I661" s="7"/>
      <c r="P661" s="7"/>
    </row>
    <row r="662" spans="9:16" x14ac:dyDescent="0.35">
      <c r="I662" s="7"/>
      <c r="P662" s="7"/>
    </row>
    <row r="663" spans="9:16" x14ac:dyDescent="0.35">
      <c r="I663" s="7"/>
      <c r="P663" s="7"/>
    </row>
    <row r="664" spans="9:16" x14ac:dyDescent="0.35">
      <c r="I664" s="7"/>
      <c r="P664" s="7"/>
    </row>
    <row r="665" spans="9:16" x14ac:dyDescent="0.35">
      <c r="I665" s="7"/>
      <c r="P665" s="7"/>
    </row>
    <row r="666" spans="9:16" x14ac:dyDescent="0.35">
      <c r="I666" s="7"/>
      <c r="P666" s="7"/>
    </row>
    <row r="667" spans="9:16" x14ac:dyDescent="0.35">
      <c r="I667" s="7"/>
      <c r="P667" s="7"/>
    </row>
    <row r="668" spans="9:16" x14ac:dyDescent="0.35">
      <c r="I668" s="7"/>
      <c r="P668" s="7"/>
    </row>
    <row r="669" spans="9:16" x14ac:dyDescent="0.35">
      <c r="I669" s="7"/>
      <c r="P669" s="7"/>
    </row>
    <row r="670" spans="9:16" x14ac:dyDescent="0.35">
      <c r="I670" s="7"/>
      <c r="P670" s="7"/>
    </row>
    <row r="671" spans="9:16" x14ac:dyDescent="0.35">
      <c r="I671" s="7"/>
      <c r="P671" s="7"/>
    </row>
    <row r="672" spans="9:16" x14ac:dyDescent="0.35">
      <c r="I672" s="7"/>
      <c r="P672" s="7"/>
    </row>
    <row r="673" spans="9:16" x14ac:dyDescent="0.35">
      <c r="I673" s="7"/>
      <c r="P673" s="7"/>
    </row>
    <row r="674" spans="9:16" x14ac:dyDescent="0.35">
      <c r="I674" s="7"/>
      <c r="P674" s="7"/>
    </row>
    <row r="675" spans="9:16" x14ac:dyDescent="0.35">
      <c r="I675" s="7"/>
      <c r="P675" s="7"/>
    </row>
    <row r="676" spans="9:16" x14ac:dyDescent="0.35">
      <c r="I676" s="7"/>
      <c r="P676" s="7"/>
    </row>
    <row r="677" spans="9:16" x14ac:dyDescent="0.35">
      <c r="I677" s="7"/>
      <c r="P677" s="7"/>
    </row>
    <row r="678" spans="9:16" x14ac:dyDescent="0.35">
      <c r="I678" s="7"/>
      <c r="P678" s="7"/>
    </row>
    <row r="679" spans="9:16" x14ac:dyDescent="0.35">
      <c r="I679" s="7"/>
      <c r="P679" s="7"/>
    </row>
    <row r="680" spans="9:16" x14ac:dyDescent="0.35">
      <c r="I680" s="7"/>
      <c r="P680" s="7"/>
    </row>
    <row r="681" spans="9:16" x14ac:dyDescent="0.35">
      <c r="I681" s="7"/>
      <c r="P681" s="7"/>
    </row>
    <row r="682" spans="9:16" x14ac:dyDescent="0.35">
      <c r="I682" s="7"/>
      <c r="P682" s="7"/>
    </row>
    <row r="683" spans="9:16" x14ac:dyDescent="0.35">
      <c r="I683" s="7"/>
      <c r="P683" s="7"/>
    </row>
    <row r="684" spans="9:16" x14ac:dyDescent="0.35">
      <c r="I684" s="7"/>
      <c r="P684" s="7"/>
    </row>
    <row r="685" spans="9:16" x14ac:dyDescent="0.35">
      <c r="I685" s="7"/>
      <c r="P685" s="7"/>
    </row>
    <row r="686" spans="9:16" x14ac:dyDescent="0.35">
      <c r="I686" s="7"/>
      <c r="P686" s="7"/>
    </row>
    <row r="687" spans="9:16" x14ac:dyDescent="0.35">
      <c r="I687" s="7"/>
      <c r="P687" s="7"/>
    </row>
    <row r="688" spans="9:16" x14ac:dyDescent="0.35">
      <c r="I688" s="7"/>
      <c r="P688" s="7"/>
    </row>
    <row r="689" spans="9:16" x14ac:dyDescent="0.35">
      <c r="I689" s="7"/>
      <c r="P689" s="7"/>
    </row>
    <row r="690" spans="9:16" x14ac:dyDescent="0.35">
      <c r="I690" s="7"/>
      <c r="P690" s="7"/>
    </row>
    <row r="691" spans="9:16" x14ac:dyDescent="0.35">
      <c r="I691" s="7"/>
      <c r="P691" s="7"/>
    </row>
    <row r="692" spans="9:16" x14ac:dyDescent="0.35">
      <c r="I692" s="7"/>
      <c r="P692" s="7"/>
    </row>
    <row r="693" spans="9:16" x14ac:dyDescent="0.35">
      <c r="I693" s="7"/>
      <c r="P693" s="7"/>
    </row>
    <row r="694" spans="9:16" x14ac:dyDescent="0.35">
      <c r="I694" s="7"/>
      <c r="P694" s="7"/>
    </row>
    <row r="695" spans="9:16" x14ac:dyDescent="0.35">
      <c r="I695" s="7"/>
      <c r="P695" s="7"/>
    </row>
    <row r="696" spans="9:16" x14ac:dyDescent="0.35">
      <c r="I696" s="7"/>
      <c r="P696" s="7"/>
    </row>
    <row r="697" spans="9:16" x14ac:dyDescent="0.35">
      <c r="I697" s="7"/>
      <c r="P697" s="7"/>
    </row>
    <row r="698" spans="9:16" x14ac:dyDescent="0.35">
      <c r="I698" s="7"/>
      <c r="P698" s="7"/>
    </row>
    <row r="699" spans="9:16" x14ac:dyDescent="0.35">
      <c r="I699" s="7"/>
      <c r="P699" s="7"/>
    </row>
    <row r="700" spans="9:16" x14ac:dyDescent="0.35">
      <c r="I700" s="7"/>
      <c r="P700" s="7"/>
    </row>
    <row r="701" spans="9:16" x14ac:dyDescent="0.35">
      <c r="I701" s="7"/>
      <c r="P701" s="7"/>
    </row>
    <row r="702" spans="9:16" x14ac:dyDescent="0.35">
      <c r="I702" s="7"/>
      <c r="P702" s="7"/>
    </row>
    <row r="703" spans="9:16" x14ac:dyDescent="0.35">
      <c r="I703" s="7"/>
      <c r="P703" s="7"/>
    </row>
    <row r="704" spans="9:16" x14ac:dyDescent="0.35">
      <c r="I704" s="7"/>
      <c r="P704" s="7"/>
    </row>
    <row r="705" spans="9:16" x14ac:dyDescent="0.35">
      <c r="I705" s="7"/>
      <c r="P705" s="7"/>
    </row>
    <row r="706" spans="9:16" x14ac:dyDescent="0.35">
      <c r="I706" s="7"/>
      <c r="P706" s="7"/>
    </row>
    <row r="707" spans="9:16" x14ac:dyDescent="0.35">
      <c r="I707" s="7"/>
      <c r="P707" s="7"/>
    </row>
    <row r="708" spans="9:16" x14ac:dyDescent="0.35">
      <c r="I708" s="7"/>
      <c r="P708" s="7"/>
    </row>
    <row r="709" spans="9:16" x14ac:dyDescent="0.35">
      <c r="I709" s="7"/>
      <c r="P709" s="7"/>
    </row>
    <row r="710" spans="9:16" x14ac:dyDescent="0.35">
      <c r="I710" s="7"/>
      <c r="P710" s="7"/>
    </row>
    <row r="711" spans="9:16" x14ac:dyDescent="0.35">
      <c r="I711" s="7"/>
      <c r="P711" s="7"/>
    </row>
    <row r="712" spans="9:16" x14ac:dyDescent="0.35">
      <c r="I712" s="7"/>
      <c r="P712" s="7"/>
    </row>
    <row r="713" spans="9:16" x14ac:dyDescent="0.35">
      <c r="I713" s="7"/>
      <c r="P713" s="7"/>
    </row>
    <row r="714" spans="9:16" x14ac:dyDescent="0.35">
      <c r="I714" s="7"/>
      <c r="P714" s="7"/>
    </row>
    <row r="715" spans="9:16" x14ac:dyDescent="0.35">
      <c r="I715" s="7"/>
      <c r="P715" s="7"/>
    </row>
    <row r="716" spans="9:16" x14ac:dyDescent="0.35">
      <c r="I716" s="7"/>
      <c r="P716" s="7"/>
    </row>
    <row r="717" spans="9:16" x14ac:dyDescent="0.35">
      <c r="I717" s="7"/>
      <c r="P717" s="7"/>
    </row>
    <row r="718" spans="9:16" x14ac:dyDescent="0.35">
      <c r="I718" s="7"/>
      <c r="P718" s="7"/>
    </row>
    <row r="719" spans="9:16" x14ac:dyDescent="0.35">
      <c r="I719" s="7"/>
      <c r="P719" s="7"/>
    </row>
    <row r="720" spans="9:16" x14ac:dyDescent="0.35">
      <c r="I720" s="7"/>
      <c r="P720" s="7"/>
    </row>
    <row r="721" spans="9:16" x14ac:dyDescent="0.35">
      <c r="I721" s="7"/>
      <c r="P721" s="7"/>
    </row>
    <row r="722" spans="9:16" x14ac:dyDescent="0.35">
      <c r="I722" s="7"/>
      <c r="P722" s="7"/>
    </row>
    <row r="723" spans="9:16" x14ac:dyDescent="0.35">
      <c r="I723" s="7"/>
      <c r="P723" s="7"/>
    </row>
    <row r="724" spans="9:16" x14ac:dyDescent="0.35">
      <c r="I724" s="7"/>
      <c r="P724" s="7"/>
    </row>
    <row r="725" spans="9:16" x14ac:dyDescent="0.35">
      <c r="I725" s="7"/>
      <c r="P725" s="7"/>
    </row>
    <row r="726" spans="9:16" x14ac:dyDescent="0.35">
      <c r="I726" s="7"/>
      <c r="P726" s="7"/>
    </row>
    <row r="727" spans="9:16" x14ac:dyDescent="0.35">
      <c r="I727" s="7"/>
      <c r="P727" s="7"/>
    </row>
    <row r="728" spans="9:16" x14ac:dyDescent="0.35">
      <c r="I728" s="7"/>
      <c r="P728" s="7"/>
    </row>
    <row r="729" spans="9:16" x14ac:dyDescent="0.35">
      <c r="I729" s="7"/>
      <c r="P729" s="7"/>
    </row>
    <row r="730" spans="9:16" x14ac:dyDescent="0.35">
      <c r="I730" s="7"/>
      <c r="P730" s="7"/>
    </row>
    <row r="731" spans="9:16" x14ac:dyDescent="0.35">
      <c r="I731" s="7"/>
      <c r="P731" s="7"/>
    </row>
    <row r="732" spans="9:16" x14ac:dyDescent="0.35">
      <c r="I732" s="7"/>
      <c r="P732" s="7"/>
    </row>
    <row r="733" spans="9:16" x14ac:dyDescent="0.35">
      <c r="I733" s="7"/>
      <c r="P733" s="7"/>
    </row>
    <row r="734" spans="9:16" x14ac:dyDescent="0.35">
      <c r="I734" s="7"/>
      <c r="P734" s="7"/>
    </row>
    <row r="735" spans="9:16" x14ac:dyDescent="0.35">
      <c r="I735" s="7"/>
      <c r="P735" s="7"/>
    </row>
    <row r="736" spans="9:16" x14ac:dyDescent="0.35">
      <c r="I736" s="7"/>
      <c r="P736" s="7"/>
    </row>
    <row r="737" spans="9:16" x14ac:dyDescent="0.35">
      <c r="I737" s="7"/>
      <c r="P737" s="7"/>
    </row>
    <row r="738" spans="9:16" x14ac:dyDescent="0.35">
      <c r="I738" s="7"/>
      <c r="P738" s="7"/>
    </row>
    <row r="739" spans="9:16" x14ac:dyDescent="0.35">
      <c r="I739" s="7"/>
      <c r="P739" s="7"/>
    </row>
    <row r="740" spans="9:16" x14ac:dyDescent="0.35">
      <c r="I740" s="7"/>
      <c r="P740" s="7"/>
    </row>
    <row r="741" spans="9:16" x14ac:dyDescent="0.35">
      <c r="I741" s="7"/>
      <c r="P741" s="7"/>
    </row>
    <row r="742" spans="9:16" x14ac:dyDescent="0.35">
      <c r="I742" s="7"/>
      <c r="P742" s="7"/>
    </row>
    <row r="743" spans="9:16" x14ac:dyDescent="0.35">
      <c r="I743" s="7"/>
      <c r="P743" s="7"/>
    </row>
    <row r="744" spans="9:16" x14ac:dyDescent="0.35">
      <c r="I744" s="7"/>
      <c r="P744" s="7"/>
    </row>
    <row r="745" spans="9:16" x14ac:dyDescent="0.35">
      <c r="I745" s="7"/>
      <c r="P745" s="7"/>
    </row>
    <row r="746" spans="9:16" x14ac:dyDescent="0.35">
      <c r="I746" s="7"/>
      <c r="P746" s="7"/>
    </row>
    <row r="747" spans="9:16" x14ac:dyDescent="0.35">
      <c r="I747" s="7"/>
      <c r="P747" s="7"/>
    </row>
    <row r="748" spans="9:16" x14ac:dyDescent="0.35">
      <c r="I748" s="7"/>
      <c r="P748" s="7"/>
    </row>
    <row r="749" spans="9:16" x14ac:dyDescent="0.35">
      <c r="I749" s="7"/>
      <c r="P749" s="7"/>
    </row>
    <row r="750" spans="9:16" x14ac:dyDescent="0.35">
      <c r="I750" s="7"/>
      <c r="P750" s="7"/>
    </row>
    <row r="751" spans="9:16" x14ac:dyDescent="0.35">
      <c r="I751" s="7"/>
      <c r="P751" s="7"/>
    </row>
    <row r="752" spans="9:16" x14ac:dyDescent="0.35">
      <c r="I752" s="7"/>
      <c r="P752" s="7"/>
    </row>
    <row r="753" spans="9:16" x14ac:dyDescent="0.35">
      <c r="I753" s="7"/>
      <c r="P753" s="7"/>
    </row>
    <row r="754" spans="9:16" x14ac:dyDescent="0.35">
      <c r="I754" s="7"/>
      <c r="P754" s="7"/>
    </row>
    <row r="755" spans="9:16" x14ac:dyDescent="0.35">
      <c r="I755" s="7"/>
      <c r="P755" s="7"/>
    </row>
    <row r="756" spans="9:16" x14ac:dyDescent="0.35">
      <c r="I756" s="7"/>
      <c r="P756" s="7"/>
    </row>
    <row r="757" spans="9:16" x14ac:dyDescent="0.35">
      <c r="I757" s="7"/>
      <c r="P757" s="7"/>
    </row>
    <row r="758" spans="9:16" x14ac:dyDescent="0.35">
      <c r="I758" s="7"/>
      <c r="P758" s="7"/>
    </row>
    <row r="759" spans="9:16" x14ac:dyDescent="0.35">
      <c r="I759" s="7"/>
      <c r="P759" s="7"/>
    </row>
    <row r="760" spans="9:16" x14ac:dyDescent="0.35">
      <c r="I760" s="7"/>
      <c r="P760" s="7"/>
    </row>
    <row r="761" spans="9:16" x14ac:dyDescent="0.35">
      <c r="I761" s="7"/>
      <c r="P761" s="7"/>
    </row>
    <row r="762" spans="9:16" x14ac:dyDescent="0.35">
      <c r="I762" s="7"/>
      <c r="P762" s="7"/>
    </row>
    <row r="763" spans="9:16" x14ac:dyDescent="0.35">
      <c r="I763" s="7"/>
      <c r="P763" s="7"/>
    </row>
    <row r="764" spans="9:16" x14ac:dyDescent="0.35">
      <c r="I764" s="7"/>
      <c r="P764" s="7"/>
    </row>
    <row r="765" spans="9:16" x14ac:dyDescent="0.35">
      <c r="I765" s="7"/>
      <c r="P765" s="7"/>
    </row>
    <row r="766" spans="9:16" x14ac:dyDescent="0.35">
      <c r="I766" s="7"/>
      <c r="P766" s="7"/>
    </row>
    <row r="767" spans="9:16" x14ac:dyDescent="0.35">
      <c r="I767" s="7"/>
      <c r="P767" s="7"/>
    </row>
    <row r="768" spans="9:16" x14ac:dyDescent="0.35">
      <c r="I768" s="7"/>
      <c r="P768" s="7"/>
    </row>
    <row r="769" spans="9:16" x14ac:dyDescent="0.35">
      <c r="I769" s="7"/>
      <c r="P769" s="7"/>
    </row>
    <row r="770" spans="9:16" x14ac:dyDescent="0.35">
      <c r="I770" s="7"/>
      <c r="P770" s="7"/>
    </row>
    <row r="771" spans="9:16" x14ac:dyDescent="0.35">
      <c r="I771" s="7"/>
      <c r="P771" s="7"/>
    </row>
    <row r="772" spans="9:16" x14ac:dyDescent="0.35">
      <c r="I772" s="7"/>
      <c r="P772" s="7"/>
    </row>
    <row r="773" spans="9:16" x14ac:dyDescent="0.35">
      <c r="I773" s="7"/>
      <c r="P773" s="7"/>
    </row>
    <row r="774" spans="9:16" x14ac:dyDescent="0.35">
      <c r="I774" s="7"/>
      <c r="P774" s="7"/>
    </row>
    <row r="775" spans="9:16" x14ac:dyDescent="0.35">
      <c r="I775" s="7"/>
      <c r="P775" s="7"/>
    </row>
    <row r="776" spans="9:16" x14ac:dyDescent="0.35">
      <c r="I776" s="7"/>
      <c r="P776" s="7"/>
    </row>
    <row r="777" spans="9:16" x14ac:dyDescent="0.35">
      <c r="I777" s="7"/>
      <c r="P777" s="7"/>
    </row>
    <row r="778" spans="9:16" x14ac:dyDescent="0.35">
      <c r="I778" s="7"/>
      <c r="P778" s="7"/>
    </row>
    <row r="779" spans="9:16" x14ac:dyDescent="0.35">
      <c r="I779" s="7"/>
      <c r="P779" s="7"/>
    </row>
    <row r="780" spans="9:16" x14ac:dyDescent="0.35">
      <c r="I780" s="7"/>
      <c r="P780" s="7"/>
    </row>
    <row r="781" spans="9:16" x14ac:dyDescent="0.35">
      <c r="I781" s="7"/>
      <c r="P781" s="7"/>
    </row>
    <row r="782" spans="9:16" x14ac:dyDescent="0.35">
      <c r="I782" s="7"/>
      <c r="P782" s="7"/>
    </row>
    <row r="783" spans="9:16" x14ac:dyDescent="0.35">
      <c r="I783" s="7"/>
      <c r="P783" s="7"/>
    </row>
    <row r="784" spans="9:16" x14ac:dyDescent="0.35">
      <c r="I784" s="7"/>
      <c r="P784" s="7"/>
    </row>
    <row r="785" spans="9:16" x14ac:dyDescent="0.35">
      <c r="I785" s="7"/>
      <c r="P785" s="7"/>
    </row>
    <row r="786" spans="9:16" x14ac:dyDescent="0.35">
      <c r="I786" s="7"/>
      <c r="P786" s="7"/>
    </row>
    <row r="787" spans="9:16" x14ac:dyDescent="0.35">
      <c r="I787" s="7"/>
      <c r="P787" s="7"/>
    </row>
    <row r="788" spans="9:16" x14ac:dyDescent="0.35">
      <c r="I788" s="7"/>
      <c r="P788" s="7"/>
    </row>
    <row r="789" spans="9:16" x14ac:dyDescent="0.35">
      <c r="I789" s="7"/>
      <c r="P789" s="7"/>
    </row>
    <row r="790" spans="9:16" x14ac:dyDescent="0.35">
      <c r="I790" s="7"/>
      <c r="P790" s="7"/>
    </row>
    <row r="791" spans="9:16" x14ac:dyDescent="0.35">
      <c r="I791" s="7"/>
      <c r="P791" s="7"/>
    </row>
    <row r="792" spans="9:16" x14ac:dyDescent="0.35">
      <c r="I792" s="7"/>
      <c r="P792" s="7"/>
    </row>
    <row r="793" spans="9:16" x14ac:dyDescent="0.35">
      <c r="I793" s="7"/>
      <c r="P793" s="7"/>
    </row>
    <row r="794" spans="9:16" x14ac:dyDescent="0.35">
      <c r="I794" s="7"/>
      <c r="P794" s="7"/>
    </row>
    <row r="795" spans="9:16" x14ac:dyDescent="0.35">
      <c r="I795" s="7"/>
      <c r="P795" s="7"/>
    </row>
    <row r="796" spans="9:16" x14ac:dyDescent="0.35">
      <c r="I796" s="7"/>
      <c r="P796" s="7"/>
    </row>
    <row r="797" spans="9:16" x14ac:dyDescent="0.35">
      <c r="I797" s="7"/>
      <c r="P797" s="7"/>
    </row>
    <row r="798" spans="9:16" x14ac:dyDescent="0.35">
      <c r="I798" s="7"/>
      <c r="P798" s="7"/>
    </row>
    <row r="799" spans="9:16" x14ac:dyDescent="0.35">
      <c r="I799" s="7"/>
      <c r="P799" s="7"/>
    </row>
    <row r="800" spans="9:16" x14ac:dyDescent="0.35">
      <c r="I800" s="7"/>
      <c r="P800" s="7"/>
    </row>
    <row r="801" spans="9:16" x14ac:dyDescent="0.35">
      <c r="I801" s="7"/>
      <c r="P801" s="7"/>
    </row>
    <row r="802" spans="9:16" x14ac:dyDescent="0.35">
      <c r="I802" s="7"/>
      <c r="P802" s="7"/>
    </row>
    <row r="803" spans="9:16" x14ac:dyDescent="0.35">
      <c r="I803" s="7"/>
      <c r="P803" s="7"/>
    </row>
    <row r="804" spans="9:16" x14ac:dyDescent="0.35">
      <c r="I804" s="7"/>
      <c r="P804" s="7"/>
    </row>
    <row r="805" spans="9:16" x14ac:dyDescent="0.35">
      <c r="I805" s="7"/>
      <c r="P805" s="7"/>
    </row>
    <row r="806" spans="9:16" x14ac:dyDescent="0.35">
      <c r="I806" s="7"/>
      <c r="P806" s="7"/>
    </row>
    <row r="807" spans="9:16" x14ac:dyDescent="0.35">
      <c r="I807" s="7"/>
      <c r="P807" s="7"/>
    </row>
    <row r="808" spans="9:16" x14ac:dyDescent="0.35">
      <c r="I808" s="7"/>
      <c r="P808" s="7"/>
    </row>
    <row r="809" spans="9:16" x14ac:dyDescent="0.35">
      <c r="I809" s="7"/>
      <c r="P809" s="7"/>
    </row>
    <row r="810" spans="9:16" x14ac:dyDescent="0.35">
      <c r="I810" s="7"/>
      <c r="P810" s="7"/>
    </row>
    <row r="811" spans="9:16" x14ac:dyDescent="0.35">
      <c r="I811" s="7"/>
      <c r="P811" s="7"/>
    </row>
    <row r="812" spans="9:16" x14ac:dyDescent="0.35">
      <c r="I812" s="7"/>
      <c r="P812" s="7"/>
    </row>
    <row r="813" spans="9:16" x14ac:dyDescent="0.35">
      <c r="I813" s="7"/>
      <c r="P813" s="7"/>
    </row>
    <row r="814" spans="9:16" x14ac:dyDescent="0.35">
      <c r="I814" s="7"/>
      <c r="P814" s="7"/>
    </row>
    <row r="815" spans="9:16" x14ac:dyDescent="0.35">
      <c r="I815" s="7"/>
      <c r="P815" s="7"/>
    </row>
    <row r="816" spans="9:16" x14ac:dyDescent="0.35">
      <c r="I816" s="7"/>
      <c r="P816" s="7"/>
    </row>
    <row r="817" spans="9:16" x14ac:dyDescent="0.35">
      <c r="I817" s="7"/>
      <c r="P817" s="7"/>
    </row>
    <row r="818" spans="9:16" x14ac:dyDescent="0.35">
      <c r="I818" s="7"/>
      <c r="P818" s="7"/>
    </row>
    <row r="819" spans="9:16" x14ac:dyDescent="0.35">
      <c r="I819" s="7"/>
      <c r="P819" s="7"/>
    </row>
    <row r="820" spans="9:16" x14ac:dyDescent="0.35">
      <c r="I820" s="7"/>
      <c r="P820" s="7"/>
    </row>
    <row r="821" spans="9:16" x14ac:dyDescent="0.35">
      <c r="I821" s="7"/>
      <c r="P821" s="7"/>
    </row>
    <row r="822" spans="9:16" x14ac:dyDescent="0.35">
      <c r="I822" s="7"/>
      <c r="P822" s="7"/>
    </row>
    <row r="823" spans="9:16" x14ac:dyDescent="0.35">
      <c r="I823" s="7"/>
      <c r="P823" s="7"/>
    </row>
    <row r="824" spans="9:16" x14ac:dyDescent="0.35">
      <c r="I824" s="7"/>
      <c r="P824" s="7"/>
    </row>
    <row r="825" spans="9:16" x14ac:dyDescent="0.35">
      <c r="I825" s="7"/>
      <c r="P825" s="7"/>
    </row>
    <row r="826" spans="9:16" x14ac:dyDescent="0.35">
      <c r="I826" s="7"/>
      <c r="P826" s="7"/>
    </row>
    <row r="827" spans="9:16" x14ac:dyDescent="0.35">
      <c r="I827" s="7"/>
      <c r="P827" s="7"/>
    </row>
    <row r="828" spans="9:16" x14ac:dyDescent="0.35">
      <c r="I828" s="7"/>
      <c r="P828" s="7"/>
    </row>
    <row r="829" spans="9:16" x14ac:dyDescent="0.35">
      <c r="I829" s="7"/>
      <c r="P829" s="7"/>
    </row>
    <row r="830" spans="9:16" x14ac:dyDescent="0.35">
      <c r="I830" s="7"/>
      <c r="P830" s="7"/>
    </row>
    <row r="831" spans="9:16" x14ac:dyDescent="0.35">
      <c r="I831" s="7"/>
      <c r="P831" s="7"/>
    </row>
    <row r="832" spans="9:16" x14ac:dyDescent="0.35">
      <c r="I832" s="7"/>
      <c r="P832" s="7"/>
    </row>
    <row r="833" spans="9:16" x14ac:dyDescent="0.35">
      <c r="I833" s="7"/>
      <c r="P833" s="7"/>
    </row>
    <row r="834" spans="9:16" x14ac:dyDescent="0.35">
      <c r="I834" s="7"/>
      <c r="P834" s="7"/>
    </row>
    <row r="835" spans="9:16" x14ac:dyDescent="0.35">
      <c r="I835" s="7"/>
      <c r="P835" s="7"/>
    </row>
    <row r="836" spans="9:16" x14ac:dyDescent="0.35">
      <c r="I836" s="7"/>
      <c r="P836" s="7"/>
    </row>
    <row r="837" spans="9:16" x14ac:dyDescent="0.35">
      <c r="I837" s="7"/>
      <c r="P837" s="7"/>
    </row>
    <row r="838" spans="9:16" x14ac:dyDescent="0.35">
      <c r="I838" s="7"/>
      <c r="P838" s="7"/>
    </row>
    <row r="839" spans="9:16" x14ac:dyDescent="0.35">
      <c r="I839" s="7"/>
      <c r="P839" s="7"/>
    </row>
    <row r="840" spans="9:16" x14ac:dyDescent="0.35">
      <c r="I840" s="7"/>
      <c r="P840" s="7"/>
    </row>
    <row r="841" spans="9:16" x14ac:dyDescent="0.35">
      <c r="I841" s="7"/>
      <c r="P841" s="7"/>
    </row>
    <row r="842" spans="9:16" x14ac:dyDescent="0.35">
      <c r="I842" s="7"/>
      <c r="P842" s="7"/>
    </row>
    <row r="843" spans="9:16" x14ac:dyDescent="0.35">
      <c r="I843" s="7"/>
      <c r="P843" s="7"/>
    </row>
    <row r="844" spans="9:16" x14ac:dyDescent="0.35">
      <c r="I844" s="7"/>
      <c r="P844" s="7"/>
    </row>
    <row r="845" spans="9:16" x14ac:dyDescent="0.35">
      <c r="I845" s="7"/>
      <c r="P845" s="7"/>
    </row>
    <row r="846" spans="9:16" x14ac:dyDescent="0.35">
      <c r="I846" s="7"/>
      <c r="P846" s="7"/>
    </row>
    <row r="847" spans="9:16" x14ac:dyDescent="0.35">
      <c r="I847" s="7"/>
      <c r="P847" s="7"/>
    </row>
    <row r="848" spans="9:16" x14ac:dyDescent="0.35">
      <c r="I848" s="7"/>
      <c r="P848" s="7"/>
    </row>
    <row r="849" spans="9:16" x14ac:dyDescent="0.35">
      <c r="I849" s="7"/>
      <c r="P849" s="7"/>
    </row>
    <row r="850" spans="9:16" x14ac:dyDescent="0.35">
      <c r="I850" s="7"/>
      <c r="P850" s="7"/>
    </row>
    <row r="851" spans="9:16" x14ac:dyDescent="0.35">
      <c r="I851" s="7"/>
      <c r="P851" s="7"/>
    </row>
    <row r="852" spans="9:16" x14ac:dyDescent="0.35">
      <c r="I852" s="7"/>
      <c r="P852" s="7"/>
    </row>
    <row r="853" spans="9:16" x14ac:dyDescent="0.35">
      <c r="I853" s="7"/>
      <c r="P853" s="7"/>
    </row>
    <row r="854" spans="9:16" x14ac:dyDescent="0.35">
      <c r="I854" s="7"/>
      <c r="P854" s="7"/>
    </row>
    <row r="855" spans="9:16" x14ac:dyDescent="0.35">
      <c r="I855" s="7"/>
      <c r="P855" s="7"/>
    </row>
    <row r="856" spans="9:16" x14ac:dyDescent="0.35">
      <c r="I856" s="7"/>
      <c r="P856" s="7"/>
    </row>
    <row r="857" spans="9:16" x14ac:dyDescent="0.35">
      <c r="I857" s="7"/>
      <c r="P857" s="7"/>
    </row>
    <row r="858" spans="9:16" x14ac:dyDescent="0.35">
      <c r="I858" s="7"/>
      <c r="P858" s="7"/>
    </row>
    <row r="859" spans="9:16" x14ac:dyDescent="0.35">
      <c r="I859" s="7"/>
      <c r="P859" s="7"/>
    </row>
    <row r="860" spans="9:16" x14ac:dyDescent="0.35">
      <c r="I860" s="7"/>
      <c r="P860" s="7"/>
    </row>
    <row r="861" spans="9:16" x14ac:dyDescent="0.35">
      <c r="I861" s="7"/>
      <c r="P861" s="7"/>
    </row>
    <row r="862" spans="9:16" x14ac:dyDescent="0.35">
      <c r="I862" s="7"/>
      <c r="P862" s="7"/>
    </row>
    <row r="863" spans="9:16" x14ac:dyDescent="0.35">
      <c r="I863" s="7"/>
      <c r="P863" s="7"/>
    </row>
    <row r="864" spans="9:16" x14ac:dyDescent="0.35">
      <c r="I864" s="7"/>
      <c r="P864" s="7"/>
    </row>
    <row r="865" spans="9:16" x14ac:dyDescent="0.35">
      <c r="I865" s="7"/>
      <c r="P865" s="7"/>
    </row>
    <row r="866" spans="9:16" x14ac:dyDescent="0.35">
      <c r="I866" s="7"/>
      <c r="P866" s="7"/>
    </row>
    <row r="867" spans="9:16" x14ac:dyDescent="0.35">
      <c r="I867" s="7"/>
      <c r="P867" s="7"/>
    </row>
    <row r="868" spans="9:16" x14ac:dyDescent="0.35">
      <c r="I868" s="7"/>
      <c r="P868" s="7"/>
    </row>
    <row r="869" spans="9:16" x14ac:dyDescent="0.35">
      <c r="I869" s="7"/>
      <c r="P869" s="7"/>
    </row>
    <row r="870" spans="9:16" x14ac:dyDescent="0.35">
      <c r="I870" s="7"/>
      <c r="P870" s="7"/>
    </row>
    <row r="871" spans="9:16" x14ac:dyDescent="0.35">
      <c r="I871" s="7"/>
      <c r="P871" s="7"/>
    </row>
    <row r="872" spans="9:16" x14ac:dyDescent="0.35">
      <c r="I872" s="7"/>
      <c r="P872" s="7"/>
    </row>
    <row r="873" spans="9:16" x14ac:dyDescent="0.35">
      <c r="I873" s="7"/>
      <c r="P873" s="7"/>
    </row>
    <row r="874" spans="9:16" x14ac:dyDescent="0.35">
      <c r="I874" s="7"/>
      <c r="P874" s="7"/>
    </row>
    <row r="875" spans="9:16" x14ac:dyDescent="0.35">
      <c r="I875" s="7"/>
      <c r="P875" s="7"/>
    </row>
    <row r="876" spans="9:16" x14ac:dyDescent="0.35">
      <c r="I876" s="7"/>
      <c r="P876" s="7"/>
    </row>
    <row r="877" spans="9:16" x14ac:dyDescent="0.35">
      <c r="I877" s="7"/>
      <c r="P877" s="7"/>
    </row>
    <row r="878" spans="9:16" x14ac:dyDescent="0.35">
      <c r="I878" s="7"/>
      <c r="P878" s="7"/>
    </row>
    <row r="879" spans="9:16" x14ac:dyDescent="0.35">
      <c r="I879" s="7"/>
      <c r="P879" s="7"/>
    </row>
    <row r="880" spans="9:16" x14ac:dyDescent="0.35">
      <c r="I880" s="7"/>
      <c r="P880" s="7"/>
    </row>
    <row r="881" spans="9:16" x14ac:dyDescent="0.35">
      <c r="I881" s="7"/>
      <c r="P881" s="7"/>
    </row>
    <row r="882" spans="9:16" x14ac:dyDescent="0.35">
      <c r="I882" s="7"/>
      <c r="P882" s="7"/>
    </row>
    <row r="883" spans="9:16" x14ac:dyDescent="0.35">
      <c r="I883" s="7"/>
      <c r="P883" s="7"/>
    </row>
    <row r="884" spans="9:16" x14ac:dyDescent="0.35">
      <c r="I884" s="7"/>
      <c r="P884" s="7"/>
    </row>
    <row r="885" spans="9:16" x14ac:dyDescent="0.35">
      <c r="I885" s="7"/>
      <c r="P885" s="7"/>
    </row>
    <row r="886" spans="9:16" x14ac:dyDescent="0.35">
      <c r="I886" s="7"/>
      <c r="P886" s="7"/>
    </row>
    <row r="887" spans="9:16" x14ac:dyDescent="0.35">
      <c r="I887" s="7"/>
      <c r="P887" s="7"/>
    </row>
    <row r="888" spans="9:16" x14ac:dyDescent="0.35">
      <c r="I888" s="7"/>
      <c r="P888" s="7"/>
    </row>
    <row r="889" spans="9:16" x14ac:dyDescent="0.35">
      <c r="I889" s="7"/>
      <c r="P889" s="7"/>
    </row>
    <row r="890" spans="9:16" x14ac:dyDescent="0.35">
      <c r="I890" s="7"/>
      <c r="P890" s="7"/>
    </row>
    <row r="891" spans="9:16" x14ac:dyDescent="0.35">
      <c r="I891" s="7"/>
      <c r="P891" s="7"/>
    </row>
    <row r="892" spans="9:16" x14ac:dyDescent="0.35">
      <c r="I892" s="7"/>
      <c r="P892" s="7"/>
    </row>
    <row r="893" spans="9:16" x14ac:dyDescent="0.35">
      <c r="I893" s="7"/>
      <c r="P893" s="7"/>
    </row>
    <row r="894" spans="9:16" x14ac:dyDescent="0.35">
      <c r="I894" s="7"/>
      <c r="P894" s="7"/>
    </row>
    <row r="895" spans="9:16" x14ac:dyDescent="0.35">
      <c r="I895" s="7"/>
      <c r="P895" s="7"/>
    </row>
    <row r="896" spans="9:16" x14ac:dyDescent="0.35">
      <c r="I896" s="7"/>
      <c r="P896" s="7"/>
    </row>
    <row r="897" spans="9:16" x14ac:dyDescent="0.35">
      <c r="I897" s="7"/>
      <c r="P897" s="7"/>
    </row>
    <row r="898" spans="9:16" x14ac:dyDescent="0.35">
      <c r="I898" s="7"/>
      <c r="P898" s="7"/>
    </row>
    <row r="899" spans="9:16" x14ac:dyDescent="0.35">
      <c r="I899" s="7"/>
      <c r="P899" s="7"/>
    </row>
    <row r="900" spans="9:16" x14ac:dyDescent="0.35">
      <c r="I900" s="7"/>
      <c r="P900" s="7"/>
    </row>
    <row r="901" spans="9:16" x14ac:dyDescent="0.35">
      <c r="I901" s="7"/>
      <c r="P901" s="7"/>
    </row>
    <row r="902" spans="9:16" x14ac:dyDescent="0.35">
      <c r="I902" s="7"/>
      <c r="P902" s="7"/>
    </row>
    <row r="903" spans="9:16" x14ac:dyDescent="0.35">
      <c r="I903" s="7"/>
      <c r="P903" s="7"/>
    </row>
    <row r="904" spans="9:16" x14ac:dyDescent="0.35">
      <c r="I904" s="7"/>
      <c r="P904" s="7"/>
    </row>
    <row r="905" spans="9:16" x14ac:dyDescent="0.35">
      <c r="I905" s="7"/>
      <c r="P905" s="7"/>
    </row>
    <row r="906" spans="9:16" x14ac:dyDescent="0.35">
      <c r="I906" s="7"/>
      <c r="P906" s="7"/>
    </row>
    <row r="907" spans="9:16" x14ac:dyDescent="0.35">
      <c r="I907" s="7"/>
      <c r="P907" s="7"/>
    </row>
    <row r="908" spans="9:16" x14ac:dyDescent="0.35">
      <c r="I908" s="7"/>
      <c r="P908" s="7"/>
    </row>
    <row r="909" spans="9:16" x14ac:dyDescent="0.35">
      <c r="I909" s="7"/>
      <c r="P909" s="7"/>
    </row>
    <row r="910" spans="9:16" x14ac:dyDescent="0.35">
      <c r="I910" s="7"/>
      <c r="P910" s="7"/>
    </row>
    <row r="911" spans="9:16" x14ac:dyDescent="0.35">
      <c r="I911" s="7"/>
      <c r="P911" s="7"/>
    </row>
    <row r="912" spans="9:16" x14ac:dyDescent="0.35">
      <c r="I912" s="7"/>
      <c r="P912" s="7"/>
    </row>
    <row r="913" spans="9:16" x14ac:dyDescent="0.35">
      <c r="I913" s="7"/>
      <c r="P913" s="7"/>
    </row>
    <row r="914" spans="9:16" x14ac:dyDescent="0.35">
      <c r="I914" s="7"/>
      <c r="P914" s="7"/>
    </row>
    <row r="915" spans="9:16" x14ac:dyDescent="0.35">
      <c r="I915" s="7"/>
      <c r="P915" s="7"/>
    </row>
    <row r="916" spans="9:16" x14ac:dyDescent="0.35">
      <c r="I916" s="7"/>
      <c r="P916" s="7"/>
    </row>
    <row r="917" spans="9:16" x14ac:dyDescent="0.35">
      <c r="I917" s="7"/>
      <c r="P917" s="7"/>
    </row>
    <row r="918" spans="9:16" x14ac:dyDescent="0.35">
      <c r="I918" s="7"/>
      <c r="P918" s="7"/>
    </row>
    <row r="919" spans="9:16" x14ac:dyDescent="0.35">
      <c r="I919" s="7"/>
      <c r="P919" s="7"/>
    </row>
    <row r="920" spans="9:16" x14ac:dyDescent="0.35">
      <c r="I920" s="7"/>
      <c r="P920" s="7"/>
    </row>
    <row r="921" spans="9:16" x14ac:dyDescent="0.35">
      <c r="I921" s="7"/>
      <c r="P921" s="7"/>
    </row>
    <row r="922" spans="9:16" x14ac:dyDescent="0.35">
      <c r="I922" s="7"/>
      <c r="P922" s="7"/>
    </row>
    <row r="923" spans="9:16" x14ac:dyDescent="0.35">
      <c r="I923" s="7"/>
      <c r="P923" s="7"/>
    </row>
    <row r="924" spans="9:16" x14ac:dyDescent="0.35">
      <c r="I924" s="7"/>
      <c r="P924" s="7"/>
    </row>
    <row r="925" spans="9:16" x14ac:dyDescent="0.35">
      <c r="I925" s="7"/>
      <c r="P925" s="7"/>
    </row>
    <row r="926" spans="9:16" x14ac:dyDescent="0.35">
      <c r="I926" s="7"/>
      <c r="P926" s="7"/>
    </row>
    <row r="927" spans="9:16" x14ac:dyDescent="0.35">
      <c r="I927" s="7"/>
      <c r="P927" s="7"/>
    </row>
    <row r="928" spans="9:16" x14ac:dyDescent="0.35">
      <c r="I928" s="7"/>
      <c r="P928" s="7"/>
    </row>
    <row r="929" spans="9:16" x14ac:dyDescent="0.35">
      <c r="I929" s="7"/>
      <c r="P929" s="7"/>
    </row>
    <row r="930" spans="9:16" x14ac:dyDescent="0.35">
      <c r="I930" s="7"/>
      <c r="P930" s="7"/>
    </row>
    <row r="931" spans="9:16" x14ac:dyDescent="0.35">
      <c r="I931" s="7"/>
      <c r="P931" s="7"/>
    </row>
    <row r="932" spans="9:16" x14ac:dyDescent="0.35">
      <c r="I932" s="7"/>
      <c r="P932" s="7"/>
    </row>
    <row r="933" spans="9:16" x14ac:dyDescent="0.35">
      <c r="I933" s="7"/>
      <c r="P933" s="7"/>
    </row>
    <row r="934" spans="9:16" x14ac:dyDescent="0.35">
      <c r="I934" s="7"/>
      <c r="P934" s="7"/>
    </row>
    <row r="935" spans="9:16" x14ac:dyDescent="0.35">
      <c r="I935" s="7"/>
      <c r="P935" s="7"/>
    </row>
    <row r="936" spans="9:16" x14ac:dyDescent="0.35">
      <c r="I936" s="7"/>
      <c r="P936" s="7"/>
    </row>
    <row r="937" spans="9:16" x14ac:dyDescent="0.35">
      <c r="I937" s="7"/>
      <c r="P937" s="7"/>
    </row>
    <row r="938" spans="9:16" x14ac:dyDescent="0.35">
      <c r="I938" s="7"/>
      <c r="P938" s="7"/>
    </row>
    <row r="939" spans="9:16" x14ac:dyDescent="0.35">
      <c r="I939" s="7"/>
      <c r="P939" s="7"/>
    </row>
    <row r="940" spans="9:16" x14ac:dyDescent="0.35">
      <c r="I940" s="7"/>
      <c r="P940" s="7"/>
    </row>
    <row r="941" spans="9:16" x14ac:dyDescent="0.35">
      <c r="I941" s="7"/>
      <c r="P941" s="7"/>
    </row>
    <row r="942" spans="9:16" x14ac:dyDescent="0.35">
      <c r="I942" s="7"/>
      <c r="P942" s="7"/>
    </row>
    <row r="943" spans="9:16" x14ac:dyDescent="0.35">
      <c r="I943" s="7"/>
      <c r="P943" s="7"/>
    </row>
    <row r="944" spans="9:16" x14ac:dyDescent="0.35">
      <c r="I944" s="7"/>
      <c r="P944" s="7"/>
    </row>
    <row r="945" spans="9:16" x14ac:dyDescent="0.35">
      <c r="I945" s="7"/>
      <c r="P945" s="7"/>
    </row>
    <row r="946" spans="9:16" x14ac:dyDescent="0.35">
      <c r="I946" s="7"/>
      <c r="P946" s="7"/>
    </row>
    <row r="947" spans="9:16" x14ac:dyDescent="0.35">
      <c r="I947" s="7"/>
      <c r="P947" s="7"/>
    </row>
    <row r="948" spans="9:16" x14ac:dyDescent="0.35">
      <c r="I948" s="7"/>
      <c r="P948" s="7"/>
    </row>
    <row r="949" spans="9:16" x14ac:dyDescent="0.35">
      <c r="I949" s="7"/>
      <c r="P949" s="7"/>
    </row>
    <row r="950" spans="9:16" x14ac:dyDescent="0.35">
      <c r="I950" s="7"/>
      <c r="P950" s="7"/>
    </row>
    <row r="951" spans="9:16" x14ac:dyDescent="0.35">
      <c r="I951" s="7"/>
      <c r="P951" s="7"/>
    </row>
    <row r="952" spans="9:16" x14ac:dyDescent="0.35">
      <c r="I952" s="7"/>
      <c r="P952" s="7"/>
    </row>
    <row r="953" spans="9:16" x14ac:dyDescent="0.35">
      <c r="I953" s="7"/>
      <c r="P953" s="7"/>
    </row>
    <row r="954" spans="9:16" x14ac:dyDescent="0.35">
      <c r="I954" s="7"/>
      <c r="P954" s="7"/>
    </row>
    <row r="955" spans="9:16" x14ac:dyDescent="0.35">
      <c r="I955" s="7"/>
      <c r="P955" s="7"/>
    </row>
    <row r="956" spans="9:16" x14ac:dyDescent="0.35">
      <c r="I956" s="7"/>
      <c r="P956" s="7"/>
    </row>
    <row r="957" spans="9:16" x14ac:dyDescent="0.35">
      <c r="I957" s="7"/>
      <c r="P957" s="7"/>
    </row>
    <row r="958" spans="9:16" x14ac:dyDescent="0.35">
      <c r="I958" s="7"/>
      <c r="P958" s="7"/>
    </row>
    <row r="959" spans="9:16" x14ac:dyDescent="0.35">
      <c r="I959" s="7"/>
      <c r="P959" s="7"/>
    </row>
    <row r="960" spans="9:16" x14ac:dyDescent="0.35">
      <c r="I960" s="7"/>
      <c r="P960" s="7"/>
    </row>
    <row r="961" spans="9:16" x14ac:dyDescent="0.35">
      <c r="I961" s="7"/>
      <c r="P961" s="7"/>
    </row>
    <row r="962" spans="9:16" x14ac:dyDescent="0.35">
      <c r="I962" s="7"/>
      <c r="P962" s="7"/>
    </row>
    <row r="963" spans="9:16" x14ac:dyDescent="0.35">
      <c r="I963" s="7"/>
      <c r="P963" s="7"/>
    </row>
    <row r="964" spans="9:16" x14ac:dyDescent="0.35">
      <c r="I964" s="7"/>
      <c r="P964" s="7"/>
    </row>
    <row r="965" spans="9:16" x14ac:dyDescent="0.35">
      <c r="I965" s="7"/>
      <c r="P965" s="7"/>
    </row>
    <row r="966" spans="9:16" x14ac:dyDescent="0.35">
      <c r="I966" s="7"/>
      <c r="P966" s="7"/>
    </row>
    <row r="967" spans="9:16" x14ac:dyDescent="0.35">
      <c r="I967" s="7"/>
      <c r="P967" s="7"/>
    </row>
    <row r="968" spans="9:16" x14ac:dyDescent="0.35">
      <c r="I968" s="7"/>
      <c r="P968" s="7"/>
    </row>
    <row r="969" spans="9:16" x14ac:dyDescent="0.35">
      <c r="I969" s="7"/>
      <c r="P969" s="7"/>
    </row>
    <row r="970" spans="9:16" x14ac:dyDescent="0.35">
      <c r="I970" s="7"/>
      <c r="P970" s="7"/>
    </row>
    <row r="971" spans="9:16" x14ac:dyDescent="0.35">
      <c r="I971" s="7"/>
      <c r="P971" s="7"/>
    </row>
    <row r="972" spans="9:16" x14ac:dyDescent="0.35">
      <c r="I972" s="7"/>
      <c r="P972" s="7"/>
    </row>
    <row r="973" spans="9:16" x14ac:dyDescent="0.35">
      <c r="I973" s="7"/>
      <c r="P973" s="7"/>
    </row>
    <row r="974" spans="9:16" x14ac:dyDescent="0.35">
      <c r="I974" s="7"/>
      <c r="P974" s="7"/>
    </row>
    <row r="975" spans="9:16" x14ac:dyDescent="0.35">
      <c r="I975" s="7"/>
      <c r="P975" s="7"/>
    </row>
    <row r="976" spans="9:16" x14ac:dyDescent="0.35">
      <c r="I976" s="7"/>
      <c r="P976" s="7"/>
    </row>
    <row r="977" spans="9:16" x14ac:dyDescent="0.35">
      <c r="I977" s="7"/>
      <c r="P977" s="7"/>
    </row>
    <row r="978" spans="9:16" x14ac:dyDescent="0.35">
      <c r="I978" s="7"/>
      <c r="P978" s="7"/>
    </row>
    <row r="979" spans="9:16" x14ac:dyDescent="0.35">
      <c r="I979" s="7"/>
      <c r="P979" s="7"/>
    </row>
    <row r="980" spans="9:16" x14ac:dyDescent="0.35">
      <c r="I980" s="7"/>
      <c r="P980" s="7"/>
    </row>
    <row r="981" spans="9:16" x14ac:dyDescent="0.35">
      <c r="I981" s="7"/>
      <c r="P981" s="7"/>
    </row>
    <row r="982" spans="9:16" x14ac:dyDescent="0.35">
      <c r="I982" s="7"/>
      <c r="P982" s="7"/>
    </row>
    <row r="983" spans="9:16" x14ac:dyDescent="0.35">
      <c r="I983" s="7"/>
      <c r="P983" s="7"/>
    </row>
    <row r="984" spans="9:16" x14ac:dyDescent="0.35">
      <c r="I984" s="7"/>
      <c r="P984" s="7"/>
    </row>
    <row r="985" spans="9:16" x14ac:dyDescent="0.35">
      <c r="I985" s="7"/>
      <c r="P985" s="7"/>
    </row>
    <row r="986" spans="9:16" x14ac:dyDescent="0.35">
      <c r="I986" s="7"/>
      <c r="P986" s="7"/>
    </row>
    <row r="987" spans="9:16" x14ac:dyDescent="0.35">
      <c r="I987" s="7"/>
      <c r="P987" s="7"/>
    </row>
    <row r="988" spans="9:16" x14ac:dyDescent="0.35">
      <c r="I988" s="7"/>
      <c r="P988" s="7"/>
    </row>
    <row r="989" spans="9:16" x14ac:dyDescent="0.35">
      <c r="I989" s="7"/>
      <c r="P989" s="7"/>
    </row>
    <row r="990" spans="9:16" x14ac:dyDescent="0.35">
      <c r="I990" s="7"/>
      <c r="P990" s="7"/>
    </row>
    <row r="991" spans="9:16" x14ac:dyDescent="0.35">
      <c r="I991" s="7"/>
      <c r="P991" s="7"/>
    </row>
    <row r="992" spans="9:16" x14ac:dyDescent="0.35">
      <c r="I992" s="7"/>
      <c r="P992" s="7"/>
    </row>
    <row r="993" spans="9:16" x14ac:dyDescent="0.35">
      <c r="I993" s="7"/>
      <c r="P993" s="7"/>
    </row>
    <row r="994" spans="9:16" x14ac:dyDescent="0.35">
      <c r="I994" s="7"/>
      <c r="P994" s="7"/>
    </row>
    <row r="995" spans="9:16" x14ac:dyDescent="0.35">
      <c r="I995" s="7"/>
      <c r="P995" s="7"/>
    </row>
    <row r="996" spans="9:16" x14ac:dyDescent="0.35">
      <c r="I996" s="7"/>
      <c r="P996" s="7"/>
    </row>
    <row r="997" spans="9:16" x14ac:dyDescent="0.35">
      <c r="I997" s="7"/>
      <c r="P997" s="7"/>
    </row>
    <row r="998" spans="9:16" x14ac:dyDescent="0.35">
      <c r="I998" s="7"/>
      <c r="P998" s="7"/>
    </row>
    <row r="999" spans="9:16" x14ac:dyDescent="0.35">
      <c r="I999" s="7"/>
      <c r="P999" s="7"/>
    </row>
    <row r="1000" spans="9:16" x14ac:dyDescent="0.35">
      <c r="I1000" s="7"/>
      <c r="P1000" s="7"/>
    </row>
    <row r="1001" spans="9:16" x14ac:dyDescent="0.35">
      <c r="I1001" s="7"/>
      <c r="P1001" s="7"/>
    </row>
    <row r="1002" spans="9:16" x14ac:dyDescent="0.35">
      <c r="I1002" s="7"/>
      <c r="P1002" s="7"/>
    </row>
    <row r="1003" spans="9:16" x14ac:dyDescent="0.35">
      <c r="I1003" s="7"/>
      <c r="P1003" s="7"/>
    </row>
    <row r="1004" spans="9:16" x14ac:dyDescent="0.35">
      <c r="I1004" s="7"/>
      <c r="P1004" s="7"/>
    </row>
    <row r="1005" spans="9:16" x14ac:dyDescent="0.35">
      <c r="I1005" s="7"/>
      <c r="P1005" s="7"/>
    </row>
    <row r="1006" spans="9:16" x14ac:dyDescent="0.35">
      <c r="I1006" s="7"/>
      <c r="P1006" s="7"/>
    </row>
    <row r="1007" spans="9:16" x14ac:dyDescent="0.35">
      <c r="I1007" s="7"/>
      <c r="P1007" s="7"/>
    </row>
    <row r="1008" spans="9:16" x14ac:dyDescent="0.35">
      <c r="I1008" s="7"/>
      <c r="P1008" s="7"/>
    </row>
    <row r="1009" spans="9:16" x14ac:dyDescent="0.35">
      <c r="I1009" s="7"/>
      <c r="P1009" s="7"/>
    </row>
    <row r="1010" spans="9:16" x14ac:dyDescent="0.35">
      <c r="I1010" s="7"/>
      <c r="P1010" s="7"/>
    </row>
    <row r="1011" spans="9:16" x14ac:dyDescent="0.35">
      <c r="I1011" s="7"/>
      <c r="P1011" s="7"/>
    </row>
    <row r="1012" spans="9:16" x14ac:dyDescent="0.35">
      <c r="I1012" s="7"/>
      <c r="P1012" s="7"/>
    </row>
    <row r="1013" spans="9:16" x14ac:dyDescent="0.35">
      <c r="I1013" s="7"/>
      <c r="P1013" s="7"/>
    </row>
    <row r="1014" spans="9:16" x14ac:dyDescent="0.35">
      <c r="I1014" s="7"/>
      <c r="P1014" s="7"/>
    </row>
    <row r="1015" spans="9:16" x14ac:dyDescent="0.35">
      <c r="I1015" s="7"/>
      <c r="P1015" s="7"/>
    </row>
    <row r="1016" spans="9:16" x14ac:dyDescent="0.35">
      <c r="I1016" s="7"/>
      <c r="P1016" s="7"/>
    </row>
    <row r="1017" spans="9:16" x14ac:dyDescent="0.35">
      <c r="I1017" s="7"/>
      <c r="P1017" s="7"/>
    </row>
    <row r="1018" spans="9:16" x14ac:dyDescent="0.35">
      <c r="I1018" s="7"/>
      <c r="P1018" s="7"/>
    </row>
    <row r="1019" spans="9:16" x14ac:dyDescent="0.35">
      <c r="I1019" s="7"/>
      <c r="P1019" s="7"/>
    </row>
    <row r="1020" spans="9:16" x14ac:dyDescent="0.35">
      <c r="I1020" s="7"/>
      <c r="P1020" s="7"/>
    </row>
    <row r="1021" spans="9:16" x14ac:dyDescent="0.35">
      <c r="I1021" s="7"/>
      <c r="P1021" s="7"/>
    </row>
    <row r="1022" spans="9:16" x14ac:dyDescent="0.35">
      <c r="I1022" s="7"/>
      <c r="P1022" s="7"/>
    </row>
    <row r="1023" spans="9:16" x14ac:dyDescent="0.35">
      <c r="I1023" s="7"/>
      <c r="P1023" s="7"/>
    </row>
    <row r="1024" spans="9:16" x14ac:dyDescent="0.35">
      <c r="I1024" s="7"/>
      <c r="P1024" s="7"/>
    </row>
    <row r="1025" spans="9:16" x14ac:dyDescent="0.35">
      <c r="I1025" s="7"/>
      <c r="P1025" s="7"/>
    </row>
    <row r="1026" spans="9:16" x14ac:dyDescent="0.35">
      <c r="I1026" s="7"/>
      <c r="P1026" s="7"/>
    </row>
    <row r="1027" spans="9:16" x14ac:dyDescent="0.35">
      <c r="I1027" s="7"/>
      <c r="P1027" s="7"/>
    </row>
    <row r="1028" spans="9:16" x14ac:dyDescent="0.35">
      <c r="I1028" s="7"/>
      <c r="P1028" s="7"/>
    </row>
    <row r="1029" spans="9:16" x14ac:dyDescent="0.35">
      <c r="I1029" s="7"/>
      <c r="P1029" s="7"/>
    </row>
    <row r="1030" spans="9:16" x14ac:dyDescent="0.35">
      <c r="I1030" s="7"/>
      <c r="P1030" s="7"/>
    </row>
    <row r="1031" spans="9:16" x14ac:dyDescent="0.35">
      <c r="I1031" s="7"/>
      <c r="P1031" s="7"/>
    </row>
  </sheetData>
  <sheetProtection algorithmName="SHA-512" hashValue="2uEnnLKSMjgtIXIj/st5GuRn5jKzmmPt5Sutp8MqDmNgMZjYu4GO4dWHt2EAwsWx+IFVh+GJ46IQ9g1hgxUgCA==" saltValue="mgKBoM/c6k/+BmWQHWVq2A==" spinCount="100000" sheet="1" objects="1" scenarios="1"/>
  <mergeCells count="7">
    <mergeCell ref="AD3:AD31"/>
    <mergeCell ref="AD2:AL2"/>
    <mergeCell ref="B2:Z2"/>
    <mergeCell ref="A3:A31"/>
    <mergeCell ref="H3:H31"/>
    <mergeCell ref="O3:O31"/>
    <mergeCell ref="V3:V31"/>
  </mergeCells>
  <pageMargins left="0.7" right="0.7" top="0.75" bottom="0.75" header="0.511811023622047" footer="0.511811023622047"/>
  <pageSetup orientation="portrait" horizontalDpi="300" verticalDpi="3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4D33"/>
  </sheetPr>
  <dimension ref="A1:ED162"/>
  <sheetViews>
    <sheetView showGridLines="0" topLeftCell="A4" zoomScale="76" zoomScaleNormal="76" workbookViewId="0">
      <selection activeCell="I13" sqref="I13"/>
    </sheetView>
  </sheetViews>
  <sheetFormatPr defaultColWidth="8.54296875" defaultRowHeight="14.5" x14ac:dyDescent="0.35"/>
  <cols>
    <col min="1" max="1" width="13" customWidth="1"/>
    <col min="2" max="2" width="33" customWidth="1"/>
    <col min="3" max="4" width="13" style="7" customWidth="1"/>
    <col min="5" max="6" width="14" customWidth="1"/>
    <col min="7" max="7" width="22" customWidth="1"/>
    <col min="8" max="8" width="30" customWidth="1"/>
    <col min="9" max="9" width="36" customWidth="1"/>
    <col min="10" max="10" width="12" customWidth="1"/>
    <col min="11" max="11" width="11" customWidth="1"/>
    <col min="12" max="12" width="12" customWidth="1"/>
    <col min="13" max="15" width="10.54296875" style="7" customWidth="1"/>
    <col min="16" max="16" width="11.6328125" style="7" customWidth="1"/>
    <col min="17" max="17" width="10.54296875" style="7" customWidth="1"/>
    <col min="18" max="18" width="15.453125" style="7" customWidth="1"/>
    <col min="19" max="20" width="10.54296875" style="7" customWidth="1"/>
    <col min="21" max="21" width="11.6328125" style="7" customWidth="1"/>
    <col min="22" max="22" width="10.54296875" style="7" customWidth="1"/>
    <col min="23" max="23" width="15.453125" style="7" customWidth="1"/>
    <col min="24" max="25" width="10.54296875" style="7" customWidth="1"/>
    <col min="26" max="26" width="11.6328125" style="7" customWidth="1"/>
    <col min="27" max="27" width="10.54296875" style="7" customWidth="1"/>
    <col min="28" max="28" width="15.453125" style="7" customWidth="1"/>
    <col min="29" max="30" width="10.54296875" style="7" customWidth="1"/>
    <col min="31" max="31" width="11.6328125" style="7" customWidth="1"/>
    <col min="32" max="32" width="10.54296875" style="7" customWidth="1"/>
    <col min="33" max="34" width="15.453125" style="7" customWidth="1"/>
    <col min="35" max="36" width="10.1796875" style="7" customWidth="1"/>
    <col min="37" max="39" width="10.54296875" style="7" customWidth="1"/>
    <col min="40" max="40" width="11.6328125" style="7" customWidth="1"/>
    <col min="41" max="41" width="10.54296875" style="7" customWidth="1"/>
    <col min="42" max="42" width="15.453125" style="7" customWidth="1"/>
    <col min="43" max="44" width="10.54296875" style="7" customWidth="1"/>
    <col min="45" max="45" width="11.6328125" style="7" customWidth="1"/>
    <col min="46" max="46" width="10.54296875" style="7" customWidth="1"/>
    <col min="47" max="47" width="15.453125" style="7" customWidth="1"/>
    <col min="48" max="49" width="10.54296875" style="7" customWidth="1"/>
    <col min="50" max="50" width="11.6328125" style="7" customWidth="1"/>
    <col min="51" max="51" width="10.54296875" style="7" customWidth="1"/>
    <col min="52" max="52" width="15.453125" style="7" customWidth="1"/>
    <col min="53" max="54" width="10.54296875" style="7" customWidth="1"/>
    <col min="55" max="55" width="11.6328125" style="7" customWidth="1"/>
    <col min="56" max="56" width="10.54296875" style="7" customWidth="1"/>
    <col min="57" max="57" width="15.453125" style="7" customWidth="1"/>
    <col min="58" max="59" width="10.54296875" style="7" customWidth="1"/>
    <col min="60" max="60" width="11.6328125" style="7" customWidth="1"/>
    <col min="61" max="61" width="10.54296875" style="7" customWidth="1"/>
    <col min="62" max="63" width="15.453125" style="7" customWidth="1"/>
    <col min="64" max="65" width="10.1796875" style="7" customWidth="1"/>
    <col min="66" max="68" width="10.54296875" style="7" customWidth="1"/>
    <col min="69" max="69" width="11.6328125" style="7" customWidth="1"/>
    <col min="70" max="70" width="10.54296875" style="7" customWidth="1"/>
    <col min="71" max="71" width="15.453125" style="7" customWidth="1"/>
    <col min="72" max="73" width="10.54296875" style="7" customWidth="1"/>
    <col min="74" max="74" width="11.6328125" style="7" customWidth="1"/>
    <col min="75" max="75" width="10.54296875" style="7" customWidth="1"/>
    <col min="76" max="76" width="15.453125" style="7" customWidth="1"/>
    <col min="77" max="78" width="10.54296875" style="7" customWidth="1"/>
    <col min="79" max="79" width="11.6328125" style="7" customWidth="1"/>
    <col min="80" max="80" width="10.54296875" style="7" customWidth="1"/>
    <col min="81" max="81" width="15.453125" style="7" customWidth="1"/>
    <col min="82" max="83" width="10.54296875" style="7" customWidth="1"/>
    <col min="84" max="84" width="11.6328125" style="7" customWidth="1"/>
    <col min="85" max="85" width="10.54296875" style="7" customWidth="1"/>
    <col min="86" max="86" width="15.453125" style="7" customWidth="1"/>
    <col min="87" max="88" width="10.54296875" style="7" customWidth="1"/>
    <col min="89" max="89" width="11.6328125" style="7" customWidth="1"/>
    <col min="90" max="90" width="10.54296875" style="7" customWidth="1"/>
    <col min="91" max="91" width="15.453125" style="7" customWidth="1"/>
    <col min="92" max="93" width="10.54296875" style="7" customWidth="1"/>
    <col min="94" max="94" width="11.6328125" style="7" customWidth="1"/>
    <col min="95" max="95" width="10.54296875" style="7" customWidth="1"/>
    <col min="96" max="96" width="15.453125" style="7" customWidth="1"/>
    <col min="97" max="98" width="10.54296875" style="7" customWidth="1"/>
    <col min="99" max="99" width="11.6328125" style="7" customWidth="1"/>
    <col min="100" max="100" width="10.54296875" style="7" customWidth="1"/>
    <col min="101" max="101" width="15.453125" style="7" customWidth="1"/>
    <col min="102" max="103" width="10.54296875" style="7" customWidth="1"/>
    <col min="104" max="104" width="11.6328125" style="7" customWidth="1"/>
    <col min="105" max="105" width="10.54296875" style="7" customWidth="1"/>
    <col min="106" max="106" width="15.453125" style="7" customWidth="1"/>
    <col min="107" max="108" width="10.54296875" style="7" customWidth="1"/>
    <col min="109" max="109" width="11.6328125" style="7" customWidth="1"/>
    <col min="110" max="110" width="10.54296875" style="7" customWidth="1"/>
    <col min="111" max="111" width="15.453125" style="7" customWidth="1"/>
    <col min="112" max="113" width="10.54296875" style="7" customWidth="1"/>
    <col min="114" max="114" width="11.6328125" style="7" customWidth="1"/>
    <col min="115" max="115" width="10.54296875" style="7" customWidth="1"/>
    <col min="116" max="116" width="15.453125" style="7" customWidth="1"/>
    <col min="117" max="118" width="10.54296875" style="7" customWidth="1"/>
    <col min="119" max="119" width="11.6328125" style="7" customWidth="1"/>
    <col min="120" max="120" width="10.54296875" style="7" customWidth="1"/>
    <col min="121" max="121" width="15.453125" style="7" customWidth="1"/>
    <col min="122" max="123" width="10.54296875" style="7" customWidth="1"/>
    <col min="124" max="124" width="11.6328125" style="7" customWidth="1"/>
    <col min="125" max="125" width="10.54296875" style="7" customWidth="1"/>
    <col min="126" max="126" width="15.453125" style="7" customWidth="1"/>
    <col min="127" max="128" width="10.54296875" style="7" customWidth="1"/>
    <col min="129" max="129" width="11.6328125" style="7" customWidth="1"/>
    <col min="130" max="130" width="10.54296875" style="7" customWidth="1"/>
    <col min="131" max="132" width="15.453125" style="7" customWidth="1"/>
    <col min="133" max="134" width="10.1796875" style="7" customWidth="1"/>
  </cols>
  <sheetData>
    <row r="1" spans="1:134" ht="24" customHeight="1" x14ac:dyDescent="0.35">
      <c r="A1" s="82" t="s">
        <v>141</v>
      </c>
      <c r="B1" s="82"/>
      <c r="C1" s="82"/>
      <c r="D1" s="82"/>
      <c r="E1" s="82"/>
      <c r="F1" s="82"/>
      <c r="G1" s="82"/>
      <c r="H1" s="82"/>
      <c r="I1" s="82"/>
      <c r="J1" s="82"/>
    </row>
    <row r="2" spans="1:134" x14ac:dyDescent="0.35">
      <c r="A2" s="82"/>
      <c r="B2" s="82"/>
      <c r="C2" s="82"/>
      <c r="D2" s="82"/>
      <c r="E2" s="82"/>
      <c r="F2" s="82"/>
      <c r="G2" s="82"/>
      <c r="H2" s="82"/>
      <c r="I2" s="82"/>
      <c r="J2" s="82"/>
    </row>
    <row r="3" spans="1:134" ht="15" customHeight="1" x14ac:dyDescent="0.35">
      <c r="A3" s="82"/>
      <c r="B3" s="82"/>
      <c r="C3" s="82"/>
      <c r="D3" s="82"/>
      <c r="E3" s="82"/>
      <c r="F3" s="82"/>
      <c r="G3" s="82"/>
      <c r="H3" s="82"/>
      <c r="I3" s="82"/>
      <c r="J3" s="82"/>
    </row>
    <row r="4" spans="1:134" ht="58" customHeight="1" thickTop="1" thickBot="1" x14ac:dyDescent="0.4">
      <c r="A4" s="11" t="s">
        <v>142</v>
      </c>
      <c r="B4" s="22" t="s">
        <v>143</v>
      </c>
      <c r="C4" s="28" t="s">
        <v>144</v>
      </c>
      <c r="D4" s="28" t="s">
        <v>145</v>
      </c>
      <c r="E4" s="54" t="s">
        <v>146</v>
      </c>
      <c r="F4" s="54" t="s">
        <v>147</v>
      </c>
      <c r="G4" s="11" t="s">
        <v>213</v>
      </c>
      <c r="H4" s="22" t="s">
        <v>148</v>
      </c>
      <c r="I4" s="22" t="s">
        <v>149</v>
      </c>
      <c r="J4" s="11" t="s">
        <v>150</v>
      </c>
      <c r="K4" s="11" t="s">
        <v>151</v>
      </c>
      <c r="L4" s="22" t="s">
        <v>152</v>
      </c>
      <c r="N4" s="83" t="s">
        <v>128</v>
      </c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L4" s="83" t="s">
        <v>153</v>
      </c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O4" s="83" t="s">
        <v>126</v>
      </c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</row>
    <row r="5" spans="1:134" ht="28.5" customHeight="1" thickBot="1" x14ac:dyDescent="0.4">
      <c r="A5" s="77" t="s">
        <v>128</v>
      </c>
      <c r="B5" s="23" t="s">
        <v>154</v>
      </c>
      <c r="C5" s="34">
        <v>23.462</v>
      </c>
      <c r="D5" s="34">
        <v>126.557</v>
      </c>
      <c r="E5" s="21">
        <f t="shared" ref="E5:E26" si="0">IF(D5=0,0,C5/D5)</f>
        <v>0.18538682174830312</v>
      </c>
      <c r="F5" s="21">
        <f>2143 / 7132</f>
        <v>0.30047672462142455</v>
      </c>
      <c r="G5" s="55">
        <v>0.9</v>
      </c>
      <c r="H5" s="23" t="s">
        <v>155</v>
      </c>
      <c r="I5" s="23" t="s">
        <v>156</v>
      </c>
      <c r="J5" s="56">
        <f>F5/E5</f>
        <v>1.6208095148714359</v>
      </c>
      <c r="K5" s="84">
        <f>'Efficiency Assumptions'!B11</f>
        <v>0.3</v>
      </c>
      <c r="L5" s="7"/>
      <c r="N5" s="85" t="s">
        <v>154</v>
      </c>
      <c r="O5" s="85"/>
      <c r="P5" s="85"/>
      <c r="Q5" s="85"/>
      <c r="R5" s="85"/>
      <c r="S5" s="85" t="s">
        <v>157</v>
      </c>
      <c r="T5" s="85"/>
      <c r="U5" s="85"/>
      <c r="V5" s="85"/>
      <c r="W5" s="85"/>
      <c r="X5" s="85" t="s">
        <v>158</v>
      </c>
      <c r="Y5" s="85"/>
      <c r="Z5" s="85"/>
      <c r="AA5" s="85"/>
      <c r="AB5" s="85"/>
      <c r="AC5" s="85" t="s">
        <v>158</v>
      </c>
      <c r="AD5" s="85"/>
      <c r="AE5" s="85"/>
      <c r="AF5" s="85"/>
      <c r="AG5" s="85"/>
      <c r="AL5" s="85" t="s">
        <v>159</v>
      </c>
      <c r="AM5" s="85"/>
      <c r="AN5" s="85"/>
      <c r="AO5" s="85"/>
      <c r="AP5" s="85"/>
      <c r="AQ5" s="85" t="s">
        <v>160</v>
      </c>
      <c r="AR5" s="85"/>
      <c r="AS5" s="85"/>
      <c r="AT5" s="85"/>
      <c r="AU5" s="85"/>
      <c r="AV5" s="85" t="s">
        <v>161</v>
      </c>
      <c r="AW5" s="85"/>
      <c r="AX5" s="85"/>
      <c r="AY5" s="85"/>
      <c r="AZ5" s="85"/>
      <c r="BA5" s="85" t="s">
        <v>162</v>
      </c>
      <c r="BB5" s="85"/>
      <c r="BC5" s="85"/>
      <c r="BD5" s="85"/>
      <c r="BE5" s="85"/>
      <c r="BF5" s="85" t="s">
        <v>163</v>
      </c>
      <c r="BG5" s="85"/>
      <c r="BH5" s="85"/>
      <c r="BI5" s="85"/>
      <c r="BJ5" s="85"/>
      <c r="BO5" s="85" t="s">
        <v>31</v>
      </c>
      <c r="BP5" s="85"/>
      <c r="BQ5" s="85"/>
      <c r="BR5" s="85"/>
      <c r="BS5" s="85"/>
      <c r="BT5" s="85" t="s">
        <v>33</v>
      </c>
      <c r="BU5" s="85"/>
      <c r="BV5" s="85"/>
      <c r="BW5" s="85"/>
      <c r="BX5" s="85"/>
      <c r="BY5" s="85" t="s">
        <v>34</v>
      </c>
      <c r="BZ5" s="85"/>
      <c r="CA5" s="85"/>
      <c r="CB5" s="85"/>
      <c r="CC5" s="85"/>
      <c r="CD5" s="85" t="s">
        <v>164</v>
      </c>
      <c r="CE5" s="85"/>
      <c r="CF5" s="85"/>
      <c r="CG5" s="85"/>
      <c r="CH5" s="85"/>
      <c r="CI5" s="85" t="s">
        <v>36</v>
      </c>
      <c r="CJ5" s="85"/>
      <c r="CK5" s="85"/>
      <c r="CL5" s="85"/>
      <c r="CM5" s="85"/>
      <c r="CN5" s="85" t="s">
        <v>37</v>
      </c>
      <c r="CO5" s="85"/>
      <c r="CP5" s="85"/>
      <c r="CQ5" s="85"/>
      <c r="CR5" s="85"/>
      <c r="CS5" s="85" t="s">
        <v>38</v>
      </c>
      <c r="CT5" s="85"/>
      <c r="CU5" s="85"/>
      <c r="CV5" s="85"/>
      <c r="CW5" s="85"/>
      <c r="CX5" s="85" t="s">
        <v>40</v>
      </c>
      <c r="CY5" s="85"/>
      <c r="CZ5" s="85"/>
      <c r="DA5" s="85"/>
      <c r="DB5" s="85"/>
      <c r="DC5" s="85" t="s">
        <v>41</v>
      </c>
      <c r="DD5" s="85"/>
      <c r="DE5" s="85"/>
      <c r="DF5" s="85"/>
      <c r="DG5" s="85"/>
      <c r="DH5" s="85" t="s">
        <v>42</v>
      </c>
      <c r="DI5" s="85"/>
      <c r="DJ5" s="85"/>
      <c r="DK5" s="85"/>
      <c r="DL5" s="85"/>
      <c r="DM5" s="85" t="s">
        <v>43</v>
      </c>
      <c r="DN5" s="85"/>
      <c r="DO5" s="85"/>
      <c r="DP5" s="85"/>
      <c r="DQ5" s="85"/>
      <c r="DR5" s="85" t="s">
        <v>44</v>
      </c>
      <c r="DS5" s="85"/>
      <c r="DT5" s="85"/>
      <c r="DU5" s="85"/>
      <c r="DV5" s="85"/>
      <c r="DW5" s="85" t="s">
        <v>45</v>
      </c>
      <c r="DX5" s="85"/>
      <c r="DY5" s="85"/>
      <c r="DZ5" s="85"/>
      <c r="EA5" s="85"/>
    </row>
    <row r="6" spans="1:134" ht="84" customHeight="1" thickBot="1" x14ac:dyDescent="0.4">
      <c r="A6" s="77"/>
      <c r="B6" s="23" t="s">
        <v>157</v>
      </c>
      <c r="C6" s="34">
        <v>42.723999999999997</v>
      </c>
      <c r="D6" s="34">
        <v>11342.895</v>
      </c>
      <c r="E6" s="21">
        <f t="shared" si="0"/>
        <v>3.7665869251192041E-3</v>
      </c>
      <c r="F6" s="44">
        <v>8.9999999999999993E-3</v>
      </c>
      <c r="G6" s="55">
        <v>0.8</v>
      </c>
      <c r="H6" s="23" t="s">
        <v>165</v>
      </c>
      <c r="I6" s="23" t="s">
        <v>156</v>
      </c>
      <c r="J6" s="40">
        <v>2.5</v>
      </c>
      <c r="K6" s="84"/>
      <c r="L6" s="57"/>
      <c r="M6" s="28" t="s">
        <v>73</v>
      </c>
      <c r="N6" s="54" t="s">
        <v>166</v>
      </c>
      <c r="O6" s="28" t="s">
        <v>167</v>
      </c>
      <c r="P6" s="28" t="s">
        <v>168</v>
      </c>
      <c r="Q6" s="28" t="s">
        <v>169</v>
      </c>
      <c r="R6" s="54" t="s">
        <v>170</v>
      </c>
      <c r="S6" s="54" t="s">
        <v>166</v>
      </c>
      <c r="T6" s="28" t="s">
        <v>167</v>
      </c>
      <c r="U6" s="28" t="s">
        <v>168</v>
      </c>
      <c r="V6" s="28" t="s">
        <v>169</v>
      </c>
      <c r="W6" s="54" t="s">
        <v>170</v>
      </c>
      <c r="X6" s="54" t="s">
        <v>166</v>
      </c>
      <c r="Y6" s="28" t="s">
        <v>167</v>
      </c>
      <c r="Z6" s="28" t="s">
        <v>168</v>
      </c>
      <c r="AA6" s="28" t="s">
        <v>169</v>
      </c>
      <c r="AB6" s="54" t="s">
        <v>170</v>
      </c>
      <c r="AC6" s="54" t="s">
        <v>166</v>
      </c>
      <c r="AD6" s="28" t="s">
        <v>167</v>
      </c>
      <c r="AE6" s="28" t="s">
        <v>168</v>
      </c>
      <c r="AF6" s="28" t="s">
        <v>169</v>
      </c>
      <c r="AG6" s="54" t="s">
        <v>170</v>
      </c>
      <c r="AH6" s="54" t="s">
        <v>171</v>
      </c>
      <c r="AI6" s="11" t="s">
        <v>172</v>
      </c>
      <c r="AJ6" s="54" t="s">
        <v>173</v>
      </c>
      <c r="AL6" s="54" t="s">
        <v>166</v>
      </c>
      <c r="AM6" s="28" t="s">
        <v>167</v>
      </c>
      <c r="AN6" s="28" t="s">
        <v>168</v>
      </c>
      <c r="AO6" s="28" t="s">
        <v>169</v>
      </c>
      <c r="AP6" s="54" t="s">
        <v>170</v>
      </c>
      <c r="AQ6" s="54" t="s">
        <v>166</v>
      </c>
      <c r="AR6" s="28" t="s">
        <v>167</v>
      </c>
      <c r="AS6" s="28" t="s">
        <v>168</v>
      </c>
      <c r="AT6" s="28" t="s">
        <v>169</v>
      </c>
      <c r="AU6" s="54" t="s">
        <v>170</v>
      </c>
      <c r="AV6" s="28" t="s">
        <v>166</v>
      </c>
      <c r="AW6" s="28" t="s">
        <v>167</v>
      </c>
      <c r="AX6" s="28" t="s">
        <v>168</v>
      </c>
      <c r="AY6" s="28" t="s">
        <v>169</v>
      </c>
      <c r="AZ6" s="54" t="s">
        <v>170</v>
      </c>
      <c r="BA6" s="28" t="s">
        <v>166</v>
      </c>
      <c r="BB6" s="28" t="s">
        <v>167</v>
      </c>
      <c r="BC6" s="28" t="s">
        <v>168</v>
      </c>
      <c r="BD6" s="28" t="s">
        <v>169</v>
      </c>
      <c r="BE6" s="54" t="s">
        <v>170</v>
      </c>
      <c r="BF6" s="28" t="s">
        <v>166</v>
      </c>
      <c r="BG6" s="28" t="s">
        <v>167</v>
      </c>
      <c r="BH6" s="28" t="s">
        <v>168</v>
      </c>
      <c r="BI6" s="28" t="s">
        <v>169</v>
      </c>
      <c r="BJ6" s="54" t="s">
        <v>170</v>
      </c>
      <c r="BK6" s="54" t="s">
        <v>171</v>
      </c>
      <c r="BL6" s="11" t="s">
        <v>172</v>
      </c>
      <c r="BM6" s="54" t="s">
        <v>173</v>
      </c>
      <c r="BO6" s="54" t="s">
        <v>166</v>
      </c>
      <c r="BP6" s="28" t="s">
        <v>167</v>
      </c>
      <c r="BQ6" s="28" t="s">
        <v>168</v>
      </c>
      <c r="BR6" s="28" t="s">
        <v>169</v>
      </c>
      <c r="BS6" s="54" t="s">
        <v>170</v>
      </c>
      <c r="BT6" s="54" t="s">
        <v>166</v>
      </c>
      <c r="BU6" s="28" t="s">
        <v>167</v>
      </c>
      <c r="BV6" s="28" t="s">
        <v>168</v>
      </c>
      <c r="BW6" s="28" t="s">
        <v>169</v>
      </c>
      <c r="BX6" s="54" t="s">
        <v>170</v>
      </c>
      <c r="BY6" s="54" t="s">
        <v>166</v>
      </c>
      <c r="BZ6" s="28" t="s">
        <v>167</v>
      </c>
      <c r="CA6" s="28" t="s">
        <v>168</v>
      </c>
      <c r="CB6" s="28" t="s">
        <v>169</v>
      </c>
      <c r="CC6" s="54" t="s">
        <v>170</v>
      </c>
      <c r="CD6" s="54" t="s">
        <v>166</v>
      </c>
      <c r="CE6" s="28" t="s">
        <v>167</v>
      </c>
      <c r="CF6" s="28" t="s">
        <v>168</v>
      </c>
      <c r="CG6" s="28" t="s">
        <v>169</v>
      </c>
      <c r="CH6" s="54" t="s">
        <v>170</v>
      </c>
      <c r="CI6" s="54" t="s">
        <v>166</v>
      </c>
      <c r="CJ6" s="28" t="s">
        <v>167</v>
      </c>
      <c r="CK6" s="28" t="s">
        <v>168</v>
      </c>
      <c r="CL6" s="28" t="s">
        <v>169</v>
      </c>
      <c r="CM6" s="54" t="s">
        <v>170</v>
      </c>
      <c r="CN6" s="54" t="s">
        <v>166</v>
      </c>
      <c r="CO6" s="28" t="s">
        <v>167</v>
      </c>
      <c r="CP6" s="28" t="s">
        <v>168</v>
      </c>
      <c r="CQ6" s="28" t="s">
        <v>169</v>
      </c>
      <c r="CR6" s="54" t="s">
        <v>170</v>
      </c>
      <c r="CS6" s="28" t="s">
        <v>166</v>
      </c>
      <c r="CT6" s="28" t="s">
        <v>167</v>
      </c>
      <c r="CU6" s="28" t="s">
        <v>168</v>
      </c>
      <c r="CV6" s="28" t="s">
        <v>169</v>
      </c>
      <c r="CW6" s="54" t="s">
        <v>170</v>
      </c>
      <c r="CX6" s="54" t="s">
        <v>166</v>
      </c>
      <c r="CY6" s="28" t="s">
        <v>167</v>
      </c>
      <c r="CZ6" s="28" t="s">
        <v>168</v>
      </c>
      <c r="DA6" s="28" t="s">
        <v>169</v>
      </c>
      <c r="DB6" s="54" t="s">
        <v>170</v>
      </c>
      <c r="DC6" s="54" t="s">
        <v>166</v>
      </c>
      <c r="DD6" s="28" t="s">
        <v>167</v>
      </c>
      <c r="DE6" s="28" t="s">
        <v>168</v>
      </c>
      <c r="DF6" s="28" t="s">
        <v>169</v>
      </c>
      <c r="DG6" s="54" t="s">
        <v>170</v>
      </c>
      <c r="DH6" s="54" t="s">
        <v>166</v>
      </c>
      <c r="DI6" s="28" t="s">
        <v>167</v>
      </c>
      <c r="DJ6" s="28" t="s">
        <v>168</v>
      </c>
      <c r="DK6" s="28" t="s">
        <v>169</v>
      </c>
      <c r="DL6" s="54" t="s">
        <v>170</v>
      </c>
      <c r="DM6" s="54" t="s">
        <v>166</v>
      </c>
      <c r="DN6" s="28" t="s">
        <v>167</v>
      </c>
      <c r="DO6" s="28" t="s">
        <v>168</v>
      </c>
      <c r="DP6" s="28" t="s">
        <v>169</v>
      </c>
      <c r="DQ6" s="54" t="s">
        <v>170</v>
      </c>
      <c r="DR6" s="54" t="s">
        <v>166</v>
      </c>
      <c r="DS6" s="28" t="s">
        <v>167</v>
      </c>
      <c r="DT6" s="28" t="s">
        <v>168</v>
      </c>
      <c r="DU6" s="28" t="s">
        <v>169</v>
      </c>
      <c r="DV6" s="54" t="s">
        <v>170</v>
      </c>
      <c r="DW6" s="54" t="s">
        <v>166</v>
      </c>
      <c r="DX6" s="28" t="s">
        <v>167</v>
      </c>
      <c r="DY6" s="28" t="s">
        <v>168</v>
      </c>
      <c r="DZ6" s="28" t="s">
        <v>169</v>
      </c>
      <c r="EA6" s="54" t="s">
        <v>170</v>
      </c>
      <c r="EB6" s="54" t="s">
        <v>171</v>
      </c>
      <c r="EC6" s="11" t="s">
        <v>172</v>
      </c>
      <c r="ED6" s="54" t="s">
        <v>173</v>
      </c>
    </row>
    <row r="7" spans="1:134" ht="19.5" customHeight="1" thickBot="1" x14ac:dyDescent="0.4">
      <c r="A7" s="77"/>
      <c r="B7" s="23" t="s">
        <v>158</v>
      </c>
      <c r="C7" s="18">
        <f>C32*$E$135/SUM(C$30:C$33)</f>
        <v>0</v>
      </c>
      <c r="D7" s="34">
        <v>21.225000000000001</v>
      </c>
      <c r="E7" s="21">
        <f t="shared" si="0"/>
        <v>0</v>
      </c>
      <c r="F7" s="44">
        <v>0</v>
      </c>
      <c r="G7" s="55">
        <v>0</v>
      </c>
      <c r="H7" s="38"/>
      <c r="I7" s="23" t="s">
        <v>174</v>
      </c>
      <c r="J7" s="40">
        <v>3</v>
      </c>
      <c r="K7" s="84"/>
      <c r="L7" s="57"/>
      <c r="M7" s="47">
        <v>2024</v>
      </c>
      <c r="N7" s="21">
        <f>F5</f>
        <v>0.30047672462142455</v>
      </c>
      <c r="O7" s="18">
        <f>D5</f>
        <v>126.557</v>
      </c>
      <c r="P7" s="18">
        <f t="shared" ref="P7:P34" si="1">O7*N7/(N$7+(1-N$7)*$J$5)</f>
        <v>26.513427834280904</v>
      </c>
      <c r="Q7" s="18">
        <f t="shared" ref="Q7:Q34" si="2">O7*(1-E$5)*(1-N7)/(1-N$7)+P7</f>
        <v>129.60842783428092</v>
      </c>
      <c r="R7" s="21">
        <f t="shared" ref="R7:R34" si="3">P7/Q7</f>
        <v>0.20456561565719578</v>
      </c>
      <c r="S7" s="21">
        <f>F6</f>
        <v>8.9999999999999993E-3</v>
      </c>
      <c r="T7" s="18">
        <f>D6</f>
        <v>11342.895</v>
      </c>
      <c r="U7" s="18">
        <f t="shared" ref="U7:U34" si="4">T7*S7/(S$7+(1-S$7)*$J$6)</f>
        <v>41.056125075407202</v>
      </c>
      <c r="V7" s="18">
        <f t="shared" ref="V7:V34" si="5">T7*(1-E$6)*(1-S7)/(1-S$7)+U7</f>
        <v>11341.227125075407</v>
      </c>
      <c r="W7" s="21">
        <f t="shared" ref="W7:W34" si="6">U7/V7</f>
        <v>3.620077847187477E-3</v>
      </c>
      <c r="X7" s="21">
        <f>F7</f>
        <v>0</v>
      </c>
      <c r="Y7" s="18">
        <f>$D7</f>
        <v>21.225000000000001</v>
      </c>
      <c r="Z7" s="18">
        <f t="shared" ref="Z7:Z34" si="7">Y7*X7/(X$7+(1-X$7)*$J$7)</f>
        <v>0</v>
      </c>
      <c r="AA7" s="18">
        <f t="shared" ref="AA7:AA34" si="8">Y7*(1-$E$7)*(1-X7)/(1-X$7)+Z7</f>
        <v>21.225000000000001</v>
      </c>
      <c r="AB7" s="21">
        <f t="shared" ref="AB7:AB34" si="9">Z7/AA7</f>
        <v>0</v>
      </c>
      <c r="AC7" s="21">
        <f>F8</f>
        <v>0</v>
      </c>
      <c r="AD7" s="18">
        <f>$D8</f>
        <v>69.418999999999997</v>
      </c>
      <c r="AE7" s="18">
        <f t="shared" ref="AE7:AE34" si="10">AD7*AC7/(AC$7+(1-AC$7)*$J$8)</f>
        <v>0</v>
      </c>
      <c r="AF7" s="18">
        <f t="shared" ref="AF7:AF34" si="11">AD7*(1-$E$8)*(1-AC7)/(1-AC$7)+AE7</f>
        <v>69.418999999999997</v>
      </c>
      <c r="AG7" s="21">
        <f t="shared" ref="AG7:AG34" si="12">AE7/AF7</f>
        <v>0</v>
      </c>
      <c r="AH7" s="21">
        <f t="shared" ref="AH7:AH34" si="13">SUM(P7,U7,Z7,AE7)/SUM(Q7,V7,AA7,AF7)</f>
        <v>5.8443690187284731E-3</v>
      </c>
      <c r="AI7" s="18">
        <f t="shared" ref="AI7:AI34" si="14">SUM(O7,T7,Y7,AD7) - SUM(Q7,V7,AA7,AF7)</f>
        <v>-1.3835529096868413</v>
      </c>
      <c r="AJ7" s="21">
        <f t="shared" ref="AJ7:AJ34" si="15">AI7/SUM(O7,T7,Y7,AD7)</f>
        <v>-1.1968351384684359E-4</v>
      </c>
      <c r="AL7" s="21">
        <f>$F9</f>
        <v>0.24146095821940497</v>
      </c>
      <c r="AM7" s="18">
        <f>EST_FEC!$B134*$D$9/SUM($D$9:$D$13)</f>
        <v>10239.574681145346</v>
      </c>
      <c r="AN7" s="18">
        <f t="shared" ref="AN7:AN34" si="16">AM7*AL7/(AL$7+(1-AL$7)*$J$9)</f>
        <v>1156.5383156570033</v>
      </c>
      <c r="AO7" s="18">
        <f t="shared" ref="AO7:AO34" si="17">AM7*(1-$E$9)*(1-AL7)/(1-AL$7)+AN7</f>
        <v>10239.574681145346</v>
      </c>
      <c r="AP7" s="21">
        <f t="shared" ref="AP7:AP34" si="18">AN7/AO7</f>
        <v>0.11294788618384673</v>
      </c>
      <c r="AQ7" s="21">
        <f>$F10</f>
        <v>1</v>
      </c>
      <c r="AR7" s="18">
        <f>EST_FEC!$B134*$D$10/SUM($D$9:$D$13)</f>
        <v>8.7197089777322248</v>
      </c>
      <c r="AS7" s="18">
        <f t="shared" ref="AS7:AS34" si="19">AR7*AQ7/(AQ$7+(1-AQ$7)*$J$10)</f>
        <v>8.7197089777322248</v>
      </c>
      <c r="AT7" s="18">
        <f t="shared" ref="AT7:AT34" si="20">IF(AQ7=100%,AS7,AR7*(1-$E$10)*(1-AQ7)/(1-AQ$7)+AS7)</f>
        <v>8.7197089777322248</v>
      </c>
      <c r="AU7" s="21">
        <f t="shared" ref="AU7:AU34" si="21">IF(AT7=0,0,AS7/AT7)</f>
        <v>1</v>
      </c>
      <c r="AV7" s="18">
        <f>$F11</f>
        <v>0.4053212243897783</v>
      </c>
      <c r="AW7" s="18">
        <f>EST_FEC!$B134*$D$11/SUM($D$9:$D$13)</f>
        <v>1736.2668995291315</v>
      </c>
      <c r="AX7" s="18">
        <f t="shared" ref="AX7:AX34" si="22">AW7*AV7/(AV$7+(1-AV$7)*$J$11)</f>
        <v>371.95511078722495</v>
      </c>
      <c r="AY7" s="18">
        <f t="shared" ref="AY7:AY34" si="23">AW7*(1-$E$11)*(1-AV7)/(1-AV$7)+AX7</f>
        <v>1736.2668995291315</v>
      </c>
      <c r="AZ7" s="21">
        <f t="shared" ref="AZ7:AZ34" si="24">IF(AY7=0,0,AX7/AY7)</f>
        <v>0.21422692034738303</v>
      </c>
      <c r="BA7" s="18">
        <f>$F12</f>
        <v>0.53436208906228999</v>
      </c>
      <c r="BB7" s="18">
        <f>EST_FEC!$B134*$D$12/SUM($D$9:$D$13)</f>
        <v>548.68271004558926</v>
      </c>
      <c r="BC7" s="18">
        <f t="shared" ref="BC7:BC34" si="25">BB7*BA7/(BA$7+(1-BA$7)*$J$12)</f>
        <v>293.19523917231982</v>
      </c>
      <c r="BD7" s="18">
        <f t="shared" ref="BD7:BD34" si="26">BB7*(1-$E$12)*(1-BA7)/(1-BA$7)+BC7</f>
        <v>548.68271004558926</v>
      </c>
      <c r="BE7" s="21">
        <f t="shared" ref="BE7:BE34" si="27">IF(BD7=0,0,BC7/BD7)</f>
        <v>0.53436208906228999</v>
      </c>
      <c r="BF7" s="18">
        <f>$F13</f>
        <v>0.99999650424472197</v>
      </c>
      <c r="BG7" s="18">
        <f>EST_FEC!$B134*$D$13/SUM($D$9:$D$13)</f>
        <v>2551.7560003021999</v>
      </c>
      <c r="BH7" s="18">
        <f t="shared" ref="BH7:BH34" si="28">BG7*BF7/(BF$7+(1-BF$7)*$J$13)</f>
        <v>2551.7470799876937</v>
      </c>
      <c r="BI7" s="18">
        <f t="shared" ref="BI7:BI34" si="29">IF(BF7=1,BH7,BG7*(1-$E$13)*(1-BF7)/(1-BF$7)+BH7)</f>
        <v>2551.7560003021999</v>
      </c>
      <c r="BJ7" s="21">
        <f t="shared" ref="BJ7:BJ34" si="30">IF(BI7=0,0,BH7/BI7)</f>
        <v>0.99999650424472197</v>
      </c>
      <c r="BK7" s="21">
        <f t="shared" ref="BK7:BK34" si="31">SUM(AS7,AX7,BC7,BH7,AN7)/SUM(AT7,AY7,BD7,BI7,AO7)</f>
        <v>0.29049754422154289</v>
      </c>
      <c r="BL7" s="18">
        <f t="shared" ref="BL7:BL34" si="32">SUM(AM7,AR7,AW7,BB7,BG7) - SUM(AO7,AT7,AY7,BD7,BI7)</f>
        <v>0</v>
      </c>
      <c r="BM7" s="21">
        <f t="shared" ref="BM7:BM34" si="33">BL7/SUM(AM7,AR7,AW7,BB7,BG7)</f>
        <v>0</v>
      </c>
      <c r="BO7" s="21">
        <f>$F14</f>
        <v>0.52941176470588236</v>
      </c>
      <c r="BP7" s="18">
        <f>EST_FEC!$B81*$D$14/SUM($D$14:$D$26)</f>
        <v>4.781647222705903</v>
      </c>
      <c r="BQ7" s="18">
        <f t="shared" ref="BQ7:BQ34" si="34">BP7*BO7/(BO$7+(1-BO$7)*$J$14)</f>
        <v>2.0492773811596727</v>
      </c>
      <c r="BR7" s="18">
        <f t="shared" ref="BR7:BR34" si="35">BP7*(1-$E$14)*(1-BO7)/(1-BO$7)+BQ7</f>
        <v>4.781647222705903</v>
      </c>
      <c r="BS7" s="21">
        <f t="shared" ref="BS7:BS34" si="36">IF(BR7=0,0,BQ7/BR7)</f>
        <v>0.42857142857142855</v>
      </c>
      <c r="BT7" s="21">
        <f>$F15</f>
        <v>0.5160855394355699</v>
      </c>
      <c r="BU7" s="18">
        <f>EST_FEC!$B81*$D$15/SUM($D$14:D$26)</f>
        <v>206.97701549712693</v>
      </c>
      <c r="BV7" s="18">
        <f t="shared" ref="BV7:BV34" si="37">BU7*BT7/(BT$7+(1-BT$7)*$J$15)</f>
        <v>72.40780080097511</v>
      </c>
      <c r="BW7" s="18">
        <f t="shared" ref="BW7:BW34" si="38">BU7*(1-$E$15)*(1-BT7)/(1-BT$7)+BV7</f>
        <v>206.97701549712693</v>
      </c>
      <c r="BX7" s="21">
        <f t="shared" ref="BX7:BX34" si="39">IF(BW7=0,0,BV7/BW7)</f>
        <v>0.34983498349834991</v>
      </c>
      <c r="BY7" s="21">
        <f>$F16</f>
        <v>0.54885024658046377</v>
      </c>
      <c r="BZ7" s="18">
        <f>EST_FEC!$B81*$D$16/SUM($D$14:D$26)</f>
        <v>4.781647222705903</v>
      </c>
      <c r="CA7" s="18">
        <f t="shared" ref="CA7:CA34" si="40">BZ7*BY7/(BY$7+(1-BY$7)*$J$16)</f>
        <v>2.0492773811596727</v>
      </c>
      <c r="CB7" s="18">
        <f t="shared" ref="CB7:CB34" si="41">BZ7*(1-$E$16)*(1-BY7)/(1-BY$7)+CA7</f>
        <v>4.781647222705903</v>
      </c>
      <c r="CC7" s="21">
        <f t="shared" ref="CC7:CC34" si="42">IF(CB7=0,0,CA7/CB7)</f>
        <v>0.42857142857142855</v>
      </c>
      <c r="CD7" s="21">
        <f>$F17</f>
        <v>0.39704617328891617</v>
      </c>
      <c r="CE7" s="18">
        <f>EST_FEC!$B81*$D$17/SUM($D$16:D$26)</f>
        <v>311.93373826615129</v>
      </c>
      <c r="CF7" s="18">
        <f t="shared" ref="CF7:CF34" si="43">CE7*CD7/(CD$7+(1-CD$7)*$J$17)</f>
        <v>91.702742499539852</v>
      </c>
      <c r="CG7" s="18">
        <f t="shared" ref="CG7:CG34" si="44">CE7*(1-$E$17)*(1-CD7)/(1-CD$7)+CF7</f>
        <v>311.93373826615129</v>
      </c>
      <c r="CH7" s="21">
        <f t="shared" ref="CH7:CH34" si="45">IF(CG7=0,0,CF7/CG7)</f>
        <v>0.29398148148148151</v>
      </c>
      <c r="CI7" s="21">
        <f>$F18</f>
        <v>0.59383933746555373</v>
      </c>
      <c r="CJ7" s="18">
        <f>EST_FEC!$B81*$D$18/SUM($D$16:D$26)</f>
        <v>69.318608503589175</v>
      </c>
      <c r="CK7" s="18">
        <f t="shared" ref="CK7:CK34" si="46">CJ7*CI7/(CI$7+(1-CI$7)*$J$18)</f>
        <v>28.882753543162153</v>
      </c>
      <c r="CL7" s="18">
        <f t="shared" ref="CL7:CL34" si="47">CJ7*(1-$E$18)*(1-CI7)/(1-CI$7)+CK7</f>
        <v>69.318608503589161</v>
      </c>
      <c r="CM7" s="21">
        <f t="shared" ref="CM7:CM34" si="48">IF(CL7=0,0,CK7/CL7)</f>
        <v>0.41666666666666669</v>
      </c>
      <c r="CN7" s="21">
        <f>$F19</f>
        <v>0.7459441356839035</v>
      </c>
      <c r="CO7" s="18">
        <f>EST_FEC!$B81*$D$19/SUM($D$16:$D$26)</f>
        <v>283.05098472298914</v>
      </c>
      <c r="CP7" s="18">
        <f t="shared" ref="CP7:CP34" si="49">CO7*CN7/(CN$7+(1-CN$7)*$J$19)</f>
        <v>166.7979017117614</v>
      </c>
      <c r="CQ7" s="18">
        <f t="shared" ref="CQ7:CQ34" si="50">CO7*(1-$E$19)*(1-CN7)/(1-CN$7)+CP7</f>
        <v>283.05098472298909</v>
      </c>
      <c r="CR7" s="21">
        <f t="shared" ref="CR7:CR34" si="51">IF(CQ7=0,0,CP7/CQ7)</f>
        <v>0.58928571428571419</v>
      </c>
      <c r="CS7" s="18">
        <f>$F20</f>
        <v>0.77800829875518684</v>
      </c>
      <c r="CT7" s="18">
        <f>EST_FEC!$B81*$D$20/SUM($D$16:D$26)</f>
        <v>25.994478188845942</v>
      </c>
      <c r="CU7" s="18">
        <f t="shared" ref="CU7:CU34" si="52">CT7*CS7/(CS$7+(1-CS$7)*$J$20)</f>
        <v>14.441376771581083</v>
      </c>
      <c r="CV7" s="18">
        <f t="shared" ref="CV7:CV34" si="53">CT7*(1-$E$20)*(1-CS7)/(1-CS$7)+CU7</f>
        <v>25.994478188845946</v>
      </c>
      <c r="CW7" s="21">
        <f t="shared" ref="CW7:CW34" si="54">IF(CV7=0,0,CU7/CV7)</f>
        <v>0.55555555555555569</v>
      </c>
      <c r="CX7" s="21">
        <f>$F21</f>
        <v>0.6122856003191065</v>
      </c>
      <c r="CY7" s="18">
        <f>EST_FEC!$B81*$D$21/SUM($D$14:$D$26)</f>
        <v>541.69232108654012</v>
      </c>
      <c r="CZ7" s="18">
        <f t="shared" ref="CZ7:CZ34" si="55">CY7*CX7/(CX$7+(1-CX$7)*$J$21)</f>
        <v>209.70938533867312</v>
      </c>
      <c r="DA7" s="18">
        <f t="shared" ref="DA7:DA34" si="56">CY7*(1-$E$21)*(1-CX7)/(1-CX$7)+CZ7</f>
        <v>541.69232108654001</v>
      </c>
      <c r="DB7" s="21">
        <f t="shared" ref="DB7:DB34" si="57">IF(DA7=0,0,CZ7/DA7)</f>
        <v>0.38713745271122318</v>
      </c>
      <c r="DC7" s="21">
        <f>$F22</f>
        <v>0.5206794682422452</v>
      </c>
      <c r="DD7" s="18">
        <f>EST_FEC!$B81*$D$22/SUM($D$14:$D$26)</f>
        <v>635.95908061988507</v>
      </c>
      <c r="DE7" s="18">
        <f t="shared" ref="DE7:DE34" si="58">DD7*DC7/(DC$7+(1-DC$7)*$J$22)</f>
        <v>192.63207382900924</v>
      </c>
      <c r="DF7" s="18">
        <f t="shared" ref="DF7:DF34" si="59">DD7*(1-$E$22)*(1-DC7)/(1-DC$7)+DE7</f>
        <v>635.95908061988507</v>
      </c>
      <c r="DG7" s="21">
        <f t="shared" ref="DG7:DG34" si="60">IF(DF7=0,0,DE7/DF7)</f>
        <v>0.30290010741138562</v>
      </c>
      <c r="DH7" s="21">
        <f>$F23</f>
        <v>0.41354756253423408</v>
      </c>
      <c r="DI7" s="18">
        <f>EST_FEC!$B81*$D$23/SUM($D$14:$D$26)</f>
        <v>1406.487375935922</v>
      </c>
      <c r="DJ7" s="18">
        <f t="shared" ref="DJ7:DJ34" si="61">DI7*DH7/(DH$7+(1-DH$7)*$J$23)</f>
        <v>309.44088455511059</v>
      </c>
      <c r="DK7" s="18">
        <f t="shared" ref="DK7:DK34" si="62">DI7*(1-$E$23)*(1-DH7)/(1-DH$7)+DJ7</f>
        <v>1406.487375935922</v>
      </c>
      <c r="DL7" s="21">
        <f t="shared" ref="DL7:DL34" si="63">IF(DK7=0,0,DJ7/DK7)</f>
        <v>0.22000971345313258</v>
      </c>
      <c r="DM7" s="21">
        <f>$F24</f>
        <v>0.27014250016883906</v>
      </c>
      <c r="DN7" s="18">
        <f>EST_FEC!$B81*$D$24/SUM($D$14:$D$26)</f>
        <v>234.30071391258923</v>
      </c>
      <c r="DO7" s="18">
        <f t="shared" ref="DO7:DO34" si="64">DN7*DM7/(DM$7+(1-DM$7)*$J$24)</f>
        <v>27.323698415462299</v>
      </c>
      <c r="DP7" s="18">
        <f t="shared" ref="DP7:DP34" si="65">DN7*(1-$E$24)*(1-DM7)/(1-DM$7)+DO7</f>
        <v>234.30071391258926</v>
      </c>
      <c r="DQ7" s="21">
        <f t="shared" ref="DQ7:DQ34" si="66">IF(DP7=0,0,DO7/DP7)</f>
        <v>0.11661807580174925</v>
      </c>
      <c r="DR7" s="21">
        <f>$F25</f>
        <v>0.67567567567567566</v>
      </c>
      <c r="DS7" s="18">
        <f>EST_FEC!$B81*$D$25/SUM($D$14:$D$26)</f>
        <v>52.59811944976493</v>
      </c>
      <c r="DT7" s="18">
        <f t="shared" ref="DT7:DT34" si="67">DS7*DR7/(DR$7+(1-DR$7)*$J$25)</f>
        <v>23.908236113529512</v>
      </c>
      <c r="DU7" s="18">
        <f t="shared" ref="DU7:DU34" si="68">DS7*(1-$E$25)*(1-DR7)/(1-DR$7)+DT7</f>
        <v>52.598119449764923</v>
      </c>
      <c r="DV7" s="21">
        <f t="shared" ref="DV7:DV34" si="69">IF(DU7=0,0,DT7/DU7)</f>
        <v>0.45454545454545459</v>
      </c>
      <c r="DW7" s="21">
        <f>$F26</f>
        <v>0.71523674756856326</v>
      </c>
      <c r="DX7" s="18">
        <f>EST_FEC!$B81*$D$26/SUM($D$14:$D$26)</f>
        <v>182.38568692321087</v>
      </c>
      <c r="DY7" s="18">
        <f t="shared" ref="DY7:DY34" si="70">DX7*DW7/(DW$7+(1-DW$7)*$J$26)</f>
        <v>102.46386905798367</v>
      </c>
      <c r="DZ7" s="18">
        <f t="shared" ref="DZ7:DZ34" si="71">DX7*(1-$E$26)*(1-DW7)/(1-DW$7)+DY7</f>
        <v>182.3856869232109</v>
      </c>
      <c r="EA7" s="21">
        <f t="shared" ref="EA7:EA34" si="72">IF(DZ7=0,0,DY7/DZ7)</f>
        <v>0.56179775280898891</v>
      </c>
      <c r="EB7" s="21">
        <f t="shared" ref="EB7:EB34" si="73">SUM(DJ7,DO7,DT7,DY7,DE7,CZ7,CU7,CP7,CK7,CF7,CA7,BV7,BQ7,)/SUM(DK7,DP7,DU7,DZ7,DF7,DA7,CV7,CQ7,CL7,CG7,CB7,BW7,BR7)</f>
        <v>0.31407251851771661</v>
      </c>
      <c r="EC7" s="18">
        <f t="shared" ref="EC7:EC34" si="74">SUM(BP7,BU7,BZ7,CE7,CJ7,CO7,CT7,CY7,DD7,DI7,DN7,DS7,DX7) - SUM(BR7,BW7,CB7,CG7,CL7,CQ7,CV7,DA7,DF7,DK7,DP7,DU7,DZ7)</f>
        <v>0</v>
      </c>
      <c r="ED7" s="21">
        <f t="shared" ref="ED7:ED34" si="75">EC7/SUM(BP7,BU7,BZ7,CE7,CJ7,CO7,CT7,CY7,DD7,DI7,DN7,DS7,DX7)</f>
        <v>0</v>
      </c>
    </row>
    <row r="8" spans="1:134" ht="19.5" customHeight="1" thickBot="1" x14ac:dyDescent="0.4">
      <c r="A8" s="77"/>
      <c r="B8" s="23" t="s">
        <v>175</v>
      </c>
      <c r="C8" s="18">
        <f>C33*$E$135/SUM(C$30:C$33)</f>
        <v>0</v>
      </c>
      <c r="D8" s="34">
        <v>69.418999999999997</v>
      </c>
      <c r="E8" s="21">
        <f t="shared" si="0"/>
        <v>0</v>
      </c>
      <c r="F8" s="44">
        <v>0</v>
      </c>
      <c r="G8" s="55">
        <v>0</v>
      </c>
      <c r="H8" s="38"/>
      <c r="I8" s="23" t="s">
        <v>176</v>
      </c>
      <c r="J8" s="40">
        <v>3</v>
      </c>
      <c r="K8" s="84"/>
      <c r="L8" s="58">
        <f t="shared" ref="L8:L26" si="76">IF(J8=1, G8, G8*J8/(1+G8*(J8-1)))</f>
        <v>0</v>
      </c>
      <c r="M8" s="47">
        <f t="shared" ref="M8:M34" si="77">M7+1</f>
        <v>2025</v>
      </c>
      <c r="N8" s="21">
        <f t="shared" ref="N8:N34" si="78">N$7+(G$5-F$5)*1/(1+EXP(-$K$5*($M7-($M$7+($M$33-$M$7-1)/2))))</f>
        <v>0.31425219268946825</v>
      </c>
      <c r="O8" s="18">
        <f>EST_FEC!B188*D$5/SUM(D$5:D$8)</f>
        <v>109.76419607090816</v>
      </c>
      <c r="P8" s="18">
        <f t="shared" si="1"/>
        <v>24.049601772052512</v>
      </c>
      <c r="Q8" s="18">
        <f t="shared" si="2"/>
        <v>111.70413685748373</v>
      </c>
      <c r="R8" s="21">
        <f t="shared" si="3"/>
        <v>0.21529732424087286</v>
      </c>
      <c r="S8" s="21">
        <f t="shared" ref="S8:S34" si="79">S$7+(G$6-F$6)*1/(1+EXP(-$K$5*($M7-($M$7+($M$33-$M$7)/2))))</f>
        <v>2.4693681835655311E-2</v>
      </c>
      <c r="T8" s="18">
        <f>EST_FEC!B188*D$6/SUM(D$5:D$8)</f>
        <v>9837.8102419599381</v>
      </c>
      <c r="U8" s="18">
        <f t="shared" si="4"/>
        <v>97.70028396320528</v>
      </c>
      <c r="V8" s="18">
        <f t="shared" si="5"/>
        <v>9743.2487623006273</v>
      </c>
      <c r="W8" s="21">
        <f t="shared" si="6"/>
        <v>1.0027485323092148E-2</v>
      </c>
      <c r="X8" s="21">
        <f t="shared" ref="X8:X34" si="80">X$7+(G$7-F$7)*1/(1+EXP(-$K$5*($M7-($M$7+($M$33-$M$7)/2))))</f>
        <v>0</v>
      </c>
      <c r="Y8" s="18">
        <f>EST_FEC!$B188*$D$7/SUM($D$5:$D$8)</f>
        <v>18.408662196520346</v>
      </c>
      <c r="Z8" s="18">
        <f t="shared" si="7"/>
        <v>0</v>
      </c>
      <c r="AA8" s="18">
        <f t="shared" si="8"/>
        <v>18.408662196520346</v>
      </c>
      <c r="AB8" s="21">
        <f t="shared" si="9"/>
        <v>0</v>
      </c>
      <c r="AC8" s="21">
        <f t="shared" ref="AC8:AC34" si="81">AC$7+($L$8-$F$8)*1/(1+EXP(-$K$5*($M7-($M$7+($M$33-$M$7)/2))))</f>
        <v>0</v>
      </c>
      <c r="AD8" s="18">
        <f>EST_FEC!$B188*$D$8/SUM($D$5:$D$8)</f>
        <v>60.207817244770126</v>
      </c>
      <c r="AE8" s="18">
        <f t="shared" si="10"/>
        <v>0</v>
      </c>
      <c r="AF8" s="18">
        <f t="shared" si="11"/>
        <v>60.207817244770126</v>
      </c>
      <c r="AG8" s="21">
        <f t="shared" si="12"/>
        <v>0</v>
      </c>
      <c r="AH8" s="21">
        <f t="shared" si="13"/>
        <v>1.2256408657853868E-2</v>
      </c>
      <c r="AI8" s="18">
        <f t="shared" si="14"/>
        <v>92.621538872734163</v>
      </c>
      <c r="AJ8" s="21">
        <f t="shared" si="15"/>
        <v>9.2379588255523132E-3</v>
      </c>
      <c r="AL8" s="21">
        <f t="shared" ref="AL8:AL34" si="82">AL$7+($L$9-$F$9)*1/(1+EXP(-$K$5*($M7-($M$7+($M$33-$M$7)/2))))</f>
        <v>0.25219520665539014</v>
      </c>
      <c r="AM8" s="18">
        <f>EST_FEC!B135*$D$9/SUM($D$9:$D$13)</f>
        <v>10347.400205266487</v>
      </c>
      <c r="AN8" s="18">
        <f t="shared" si="16"/>
        <v>1220.6727855243139</v>
      </c>
      <c r="AO8" s="18">
        <f t="shared" si="17"/>
        <v>10269.466498004744</v>
      </c>
      <c r="AP8" s="21">
        <f t="shared" si="18"/>
        <v>0.11886428430936297</v>
      </c>
      <c r="AQ8" s="21">
        <f t="shared" ref="AQ8:AQ34" si="83">AQ$7+($L$10-$F$10)*1/(1+EXP(-$K$5*($M7-($M$7+($M$33-$M$7)/2))))</f>
        <v>1</v>
      </c>
      <c r="AR8" s="18">
        <f>EST_FEC!$B135*$D$10/SUM($D$9:$D$13)</f>
        <v>8.8115298999858638</v>
      </c>
      <c r="AS8" s="18">
        <f t="shared" si="19"/>
        <v>8.8115298999858638</v>
      </c>
      <c r="AT8" s="18">
        <f t="shared" si="20"/>
        <v>8.8115298999858638</v>
      </c>
      <c r="AU8" s="21">
        <f t="shared" si="21"/>
        <v>1</v>
      </c>
      <c r="AV8" s="18">
        <f t="shared" ref="AV8:AV34" si="84">AV$7+($L$11-$F$11)*1/(1+EXP(-$K$5*($M7-($M$7+($M$33-$M$7)/2))))</f>
        <v>0.41280443504727599</v>
      </c>
      <c r="AW8" s="18">
        <f>EST_FEC!$B135*$D$11/SUM($D$9:$D$13)</f>
        <v>1754.5502652240605</v>
      </c>
      <c r="AX8" s="18">
        <f t="shared" si="22"/>
        <v>382.81140477554311</v>
      </c>
      <c r="AY8" s="18">
        <f t="shared" si="23"/>
        <v>1744.1410079311977</v>
      </c>
      <c r="AZ8" s="21">
        <f t="shared" si="24"/>
        <v>0.21948420628536941</v>
      </c>
      <c r="BA8" s="18">
        <f t="shared" ref="BA8:BA34" si="85">BA$7+($L$12-$F$12)*1/(1+EXP(-$K$5*($M7-($M$7+($M$33-$M$7)/2))))</f>
        <v>0.54360048757667134</v>
      </c>
      <c r="BB8" s="18">
        <f>EST_FEC!$B135*$D$12/SUM($D$9:$D$13)</f>
        <v>554.46048916524467</v>
      </c>
      <c r="BC8" s="18">
        <f t="shared" si="25"/>
        <v>301.40499225222669</v>
      </c>
      <c r="BD8" s="18">
        <f t="shared" si="26"/>
        <v>554.46048916524467</v>
      </c>
      <c r="BE8" s="21">
        <f t="shared" si="27"/>
        <v>0.54360048757667134</v>
      </c>
      <c r="BF8" s="18">
        <f t="shared" ref="BF8:BF34" si="86">BF$7+($L$13-$F$13)*1/(1+EXP(-$K$5*($M7-($M$7+($M$33-$M$7)/2))))</f>
        <v>0.99999657360157546</v>
      </c>
      <c r="BG8" s="18">
        <f>EST_FEC!$B135*$D$13/SUM($D$9:$D$13)</f>
        <v>2578.6266894401465</v>
      </c>
      <c r="BH8" s="18">
        <f t="shared" si="28"/>
        <v>2578.6178540377205</v>
      </c>
      <c r="BI8" s="18">
        <f t="shared" si="29"/>
        <v>2578.6266894401465</v>
      </c>
      <c r="BJ8" s="21">
        <f t="shared" si="30"/>
        <v>0.99999657360157557</v>
      </c>
      <c r="BK8" s="21">
        <f t="shared" si="31"/>
        <v>0.29641494668183155</v>
      </c>
      <c r="BL8" s="18">
        <f t="shared" si="32"/>
        <v>88.342964554607534</v>
      </c>
      <c r="BM8" s="21">
        <f t="shared" si="33"/>
        <v>5.7953187228021669E-3</v>
      </c>
      <c r="BO8" s="21">
        <f t="shared" ref="BO8:BO34" si="87">BO$7+($L$14-$F$14)*1/(1+EXP(-$K$5*($M7-($M$7+($M$33-$M$7)/2))))</f>
        <v>0.53333738669604747</v>
      </c>
      <c r="BP8" s="18">
        <f>EST_FEC!$B82*$D$14/SUM($D$14:$D$26)</f>
        <v>4.812464510631874</v>
      </c>
      <c r="BQ8" s="18">
        <f t="shared" si="34"/>
        <v>2.0777782464930428</v>
      </c>
      <c r="BR8" s="18">
        <f t="shared" si="35"/>
        <v>4.8048177825207539</v>
      </c>
      <c r="BS8" s="21">
        <f t="shared" si="36"/>
        <v>0.43243642954613298</v>
      </c>
      <c r="BT8" s="21">
        <f t="shared" ref="BT8:BT34" si="88">BT$7+($L$15-$F$15)*1/(1+EXP(-$K$5*($M7-($M$7+($M$33-$M$7)/2))))</f>
        <v>0.52115145006171093</v>
      </c>
      <c r="BU8" s="18">
        <f>EST_FEC!$B82*$D$15/SUM($D$14:D$26)</f>
        <v>208.31096381735114</v>
      </c>
      <c r="BV8" s="18">
        <f t="shared" si="37"/>
        <v>73.58980042835104</v>
      </c>
      <c r="BW8" s="18">
        <f t="shared" si="38"/>
        <v>207.60847006263907</v>
      </c>
      <c r="BX8" s="21">
        <f t="shared" si="39"/>
        <v>0.35446434534269111</v>
      </c>
      <c r="BY8" s="21">
        <f t="shared" ref="BY8:BY34" si="89">BY$7+($L$16-$F$16)*1/(1+EXP(-$K$5*($M7-($M$7+($M$33-$M$7)/2))))</f>
        <v>0.55705002636568668</v>
      </c>
      <c r="BZ8" s="18">
        <f>EST_FEC!$B82*$D$16/SUM($D$14:D$26)</f>
        <v>4.812464510631874</v>
      </c>
      <c r="CA8" s="18">
        <f t="shared" si="40"/>
        <v>2.0932981518315561</v>
      </c>
      <c r="CB8" s="18">
        <f t="shared" si="41"/>
        <v>4.7932961799720832</v>
      </c>
      <c r="CC8" s="21">
        <f t="shared" si="42"/>
        <v>0.43671370873721971</v>
      </c>
      <c r="CD8" s="21">
        <f t="shared" ref="CD8:CD34" si="90">CD$7+($L$17-$F$17)*1/(1+EXP(-$K$5*($M7-($M$7+($M$33-$M$7)/2))))</f>
        <v>0.4020632299453259</v>
      </c>
      <c r="CE8" s="18">
        <f>EST_FEC!$B82*$D$17/SUM($D$16:D$26)</f>
        <v>313.94412326074587</v>
      </c>
      <c r="CF8" s="18">
        <f t="shared" si="43"/>
        <v>93.459978022898412</v>
      </c>
      <c r="CG8" s="18">
        <f t="shared" si="44"/>
        <v>313.26603503751204</v>
      </c>
      <c r="CH8" s="21">
        <f t="shared" si="45"/>
        <v>0.29834060373543864</v>
      </c>
      <c r="CI8" s="21">
        <f t="shared" ref="CI8:CI34" si="91">CI$7+($L$18-$F$18)*1/(1+EXP(-$K$5*($M7-($M$7+($M$33-$M$7)/2))))</f>
        <v>0.59973823477158283</v>
      </c>
      <c r="CJ8" s="18">
        <f>EST_FEC!$B82*$D$18/SUM($D$16:D$26)</f>
        <v>69.76536072461019</v>
      </c>
      <c r="CK8" s="18">
        <f t="shared" si="46"/>
        <v>29.357655941471613</v>
      </c>
      <c r="CL8" s="18">
        <f t="shared" si="47"/>
        <v>69.463059024303504</v>
      </c>
      <c r="CM8" s="21">
        <f t="shared" si="48"/>
        <v>0.42263695774181287</v>
      </c>
      <c r="CN8" s="21">
        <f t="shared" ref="CN8:CN34" si="92">CN$7+($L$19-$F$19)*1/(1+EXP(-$K$5*($M7-($M$7+($M$33-$M$7)/2))))</f>
        <v>0.75007001937409545</v>
      </c>
      <c r="CO8" s="18">
        <f>EST_FEC!$B82*$D$19/SUM($D$16:$D$26)</f>
        <v>284.87522295882491</v>
      </c>
      <c r="CP8" s="18">
        <f t="shared" si="49"/>
        <v>168.80141925451781</v>
      </c>
      <c r="CQ8" s="18">
        <f t="shared" si="50"/>
        <v>283.90361765506429</v>
      </c>
      <c r="CR8" s="21">
        <f t="shared" si="51"/>
        <v>0.59457297743774173</v>
      </c>
      <c r="CS8" s="18">
        <f t="shared" ref="CS8:CS34" si="93">CS$7+($L$20-$F$20)*1/(1+EXP(-$K$5*($M7-($M$7+($M$33-$M$7)/2))))</f>
        <v>0.78123785479870689</v>
      </c>
      <c r="CT8" s="18">
        <f>EST_FEC!$B82*$D$20/SUM($D$16:D$26)</f>
        <v>26.162010271728821</v>
      </c>
      <c r="CU8" s="18">
        <f t="shared" si="52"/>
        <v>14.594783467969261</v>
      </c>
      <c r="CV8" s="18">
        <f t="shared" si="53"/>
        <v>26.053184756002668</v>
      </c>
      <c r="CW8" s="21">
        <f t="shared" si="54"/>
        <v>0.56019191529383427</v>
      </c>
      <c r="CX8" s="21">
        <f t="shared" ref="CX8:CX34" si="94">CX$7+($L$21-$F$21)*1/(1+EXP(-$K$5*($M7-($M$7+($M$33-$M$7)/2))))</f>
        <v>0.61695561639022867</v>
      </c>
      <c r="CY8" s="18">
        <f>EST_FEC!$B82*$D$21/SUM($D$14:$D$26)</f>
        <v>545.18347956158232</v>
      </c>
      <c r="CZ8" s="18">
        <f t="shared" si="55"/>
        <v>212.67074458120172</v>
      </c>
      <c r="DA8" s="18">
        <f t="shared" si="56"/>
        <v>542.76877799634792</v>
      </c>
      <c r="DB8" s="21">
        <f t="shared" si="57"/>
        <v>0.39182567826816428</v>
      </c>
      <c r="DC8" s="21">
        <f t="shared" ref="DC8:DC34" si="95">DC$7+($L$22-$F$22)*1/(1+EXP(-$K$5*($M7-($M$7+($M$33-$M$7)/2))))</f>
        <v>0.52888118211051693</v>
      </c>
      <c r="DD8" s="18">
        <f>EST_FEC!$B82*$D$22/SUM($D$14:$D$26)</f>
        <v>640.05777991403932</v>
      </c>
      <c r="DE8" s="18">
        <f t="shared" si="58"/>
        <v>196.92745592352296</v>
      </c>
      <c r="DF8" s="18">
        <f t="shared" si="59"/>
        <v>635.4769514569382</v>
      </c>
      <c r="DG8" s="21">
        <f t="shared" si="60"/>
        <v>0.30988921859720248</v>
      </c>
      <c r="DH8" s="21">
        <f t="shared" ref="DH8:DH34" si="96">DH$7+($L$23-$F$23)*1/(1+EXP(-$K$5*($M7-($M$7+($M$33-$M$7)/2))))</f>
        <v>0.41651103648046628</v>
      </c>
      <c r="DI8" s="18">
        <f>EST_FEC!$B82*$D$23/SUM($D$14:$D$26)</f>
        <v>1415.5520610558613</v>
      </c>
      <c r="DJ8" s="18">
        <f t="shared" si="61"/>
        <v>313.66694205848739</v>
      </c>
      <c r="DK8" s="18">
        <f t="shared" si="62"/>
        <v>1412.2044529644672</v>
      </c>
      <c r="DL8" s="21">
        <f t="shared" si="63"/>
        <v>0.22211156564479381</v>
      </c>
      <c r="DM8" s="21">
        <f t="shared" ref="DM8:DM34" si="97">DM$7+($L$24-$F$24)*1/(1+EXP(-$K$5*($M7-($M$7+($M$33-$M$7)/2))))</f>
        <v>0.27732462720240503</v>
      </c>
      <c r="DN8" s="18">
        <f>EST_FEC!$B82*$D$24/SUM($D$14:$D$26)</f>
        <v>235.81076102096185</v>
      </c>
      <c r="DO8" s="18">
        <f t="shared" si="64"/>
        <v>28.230918877505754</v>
      </c>
      <c r="DP8" s="18">
        <f t="shared" si="65"/>
        <v>234.49200884281473</v>
      </c>
      <c r="DQ8" s="21">
        <f t="shared" si="66"/>
        <v>0.12039181640697008</v>
      </c>
      <c r="DR8" s="21">
        <f t="shared" ref="DR8:DR34" si="98">DR$7+($L$25-$F$25)*1/(1+EXP(-$K$5*($M7-($M$7+($M$33-$M$7)/2))))</f>
        <v>0.68080221740084568</v>
      </c>
      <c r="DS8" s="18">
        <f>EST_FEC!$B82*$D$25/SUM($D$14:$D$26)</f>
        <v>52.937109616950622</v>
      </c>
      <c r="DT8" s="18">
        <f t="shared" si="67"/>
        <v>24.244890174007818</v>
      </c>
      <c r="DU8" s="18">
        <f t="shared" si="68"/>
        <v>52.663258185677961</v>
      </c>
      <c r="DV8" s="21">
        <f t="shared" si="69"/>
        <v>0.46037581056086913</v>
      </c>
      <c r="DW8" s="21">
        <f t="shared" ref="DW8:DW34" si="99">DW$7+($L$26-$F$26)*1/(1+EXP(-$K$5*($M7-($M$7+($M$33-$M$7)/2))))</f>
        <v>0.71675571604538102</v>
      </c>
      <c r="DX8" s="18">
        <f>EST_FEC!$B82*$D$26/SUM($D$14:$D$26)</f>
        <v>183.56114633410152</v>
      </c>
      <c r="DY8" s="18">
        <f t="shared" si="70"/>
        <v>103.34324737289501</v>
      </c>
      <c r="DZ8" s="18">
        <f t="shared" si="71"/>
        <v>183.35109206978018</v>
      </c>
      <c r="EA8" s="21">
        <f t="shared" si="72"/>
        <v>0.56363584315911464</v>
      </c>
      <c r="EB8" s="21">
        <f t="shared" si="73"/>
        <v>0.31808283455222419</v>
      </c>
      <c r="EC8" s="18">
        <f t="shared" si="74"/>
        <v>14.935925543981739</v>
      </c>
      <c r="ED8" s="21">
        <f t="shared" si="75"/>
        <v>3.7472983968020049E-3</v>
      </c>
    </row>
    <row r="9" spans="1:134" ht="19.5" customHeight="1" thickBot="1" x14ac:dyDescent="0.4">
      <c r="A9" s="77" t="s">
        <v>127</v>
      </c>
      <c r="B9" s="23" t="s">
        <v>159</v>
      </c>
      <c r="C9" s="18">
        <f t="shared" ref="C9:D13" si="100">C74</f>
        <v>1265.4577587460774</v>
      </c>
      <c r="D9" s="18">
        <f t="shared" si="100"/>
        <v>11203.908293478598</v>
      </c>
      <c r="E9" s="21">
        <f t="shared" si="0"/>
        <v>0.11294788618384675</v>
      </c>
      <c r="F9" s="21">
        <f>IF(D9=0,0,C9*J9/((D9-C9)+(C9*J9)))</f>
        <v>0.24146095821940497</v>
      </c>
      <c r="G9" s="55">
        <v>0.59</v>
      </c>
      <c r="H9" s="23" t="s">
        <v>200</v>
      </c>
      <c r="I9" s="23" t="s">
        <v>177</v>
      </c>
      <c r="J9" s="56">
        <f>'Efficiency Assumptions'!B7</f>
        <v>2.5</v>
      </c>
      <c r="K9" s="84"/>
      <c r="L9" s="58">
        <f t="shared" si="76"/>
        <v>0.7824933687002652</v>
      </c>
      <c r="M9" s="47">
        <f t="shared" si="77"/>
        <v>2026</v>
      </c>
      <c r="N9" s="21">
        <f t="shared" si="78"/>
        <v>0.31892337196288467</v>
      </c>
      <c r="O9" s="18">
        <f>EST_FEC!B189*D$5/SUM(D$5:D$8)</f>
        <v>109.97449872698202</v>
      </c>
      <c r="P9" s="18">
        <f t="shared" si="1"/>
        <v>24.453848102779098</v>
      </c>
      <c r="Q9" s="18">
        <f t="shared" si="2"/>
        <v>111.67809540117892</v>
      </c>
      <c r="R9" s="21">
        <f t="shared" si="3"/>
        <v>0.21896727388602075</v>
      </c>
      <c r="S9" s="21">
        <f t="shared" si="79"/>
        <v>3.0038221919300896E-2</v>
      </c>
      <c r="T9" s="18">
        <f>EST_FEC!B189*D$6/SUM(D$5:D$8)</f>
        <v>9856.6589895287543</v>
      </c>
      <c r="U9" s="18">
        <f t="shared" si="4"/>
        <v>119.07360149219259</v>
      </c>
      <c r="V9" s="18">
        <f t="shared" si="5"/>
        <v>9730.1449581570942</v>
      </c>
      <c r="W9" s="21">
        <f t="shared" si="6"/>
        <v>1.223759789851531E-2</v>
      </c>
      <c r="X9" s="21">
        <f t="shared" si="80"/>
        <v>0</v>
      </c>
      <c r="Y9" s="18">
        <f>EST_FEC!$B189*$D$7/SUM($D$5:$D$8)</f>
        <v>18.443932263566563</v>
      </c>
      <c r="Z9" s="18">
        <f t="shared" si="7"/>
        <v>0</v>
      </c>
      <c r="AA9" s="18">
        <f t="shared" si="8"/>
        <v>18.443932263566563</v>
      </c>
      <c r="AB9" s="21">
        <f t="shared" si="9"/>
        <v>0</v>
      </c>
      <c r="AC9" s="21">
        <f t="shared" si="81"/>
        <v>0</v>
      </c>
      <c r="AD9" s="18">
        <f>EST_FEC!$B189*$D$8/SUM($D$5:$D$8)</f>
        <v>60.323172381838731</v>
      </c>
      <c r="AE9" s="18">
        <f t="shared" si="10"/>
        <v>0</v>
      </c>
      <c r="AF9" s="18">
        <f t="shared" si="11"/>
        <v>60.323172381838731</v>
      </c>
      <c r="AG9" s="21">
        <f t="shared" si="12"/>
        <v>0</v>
      </c>
      <c r="AH9" s="21">
        <f t="shared" si="13"/>
        <v>1.446763219789741E-2</v>
      </c>
      <c r="AI9" s="18">
        <f t="shared" si="14"/>
        <v>124.81043469746328</v>
      </c>
      <c r="AJ9" s="21">
        <f t="shared" si="15"/>
        <v>1.2424634890684598E-2</v>
      </c>
      <c r="AL9" s="21">
        <f t="shared" si="82"/>
        <v>0.25585079376584069</v>
      </c>
      <c r="AM9" s="18">
        <f>EST_FEC!B136*$D$9/SUM($D$9:$D$13)</f>
        <v>10353.941903075745</v>
      </c>
      <c r="AN9" s="18">
        <f t="shared" si="16"/>
        <v>1239.1494265500057</v>
      </c>
      <c r="AO9" s="18">
        <f t="shared" si="17"/>
        <v>10249.401540684878</v>
      </c>
      <c r="AP9" s="21">
        <f t="shared" si="18"/>
        <v>0.12089968586275178</v>
      </c>
      <c r="AQ9" s="21">
        <f t="shared" si="83"/>
        <v>1</v>
      </c>
      <c r="AR9" s="18">
        <f>EST_FEC!$B136*$D$10/SUM($D$9:$D$13)</f>
        <v>8.8171006099902591</v>
      </c>
      <c r="AS9" s="18">
        <f t="shared" si="19"/>
        <v>8.8171006099902591</v>
      </c>
      <c r="AT9" s="18">
        <f t="shared" si="20"/>
        <v>8.8171006099902591</v>
      </c>
      <c r="AU9" s="21">
        <f t="shared" si="21"/>
        <v>1</v>
      </c>
      <c r="AV9" s="18">
        <f t="shared" si="84"/>
        <v>0.41535286948937705</v>
      </c>
      <c r="AW9" s="18">
        <f>EST_FEC!$B136*$D$11/SUM($D$9:$D$13)</f>
        <v>1755.6595040085435</v>
      </c>
      <c r="AX9" s="18">
        <f t="shared" si="22"/>
        <v>385.41818833277677</v>
      </c>
      <c r="AY9" s="18">
        <f t="shared" si="23"/>
        <v>1741.6965145929246</v>
      </c>
      <c r="AZ9" s="21">
        <f t="shared" si="24"/>
        <v>0.22128894735881013</v>
      </c>
      <c r="BA9" s="18">
        <f t="shared" si="85"/>
        <v>0.54674665758864549</v>
      </c>
      <c r="BB9" s="18">
        <f>EST_FEC!$B136*$D$12/SUM($D$9:$D$13)</f>
        <v>554.81102291240234</v>
      </c>
      <c r="BC9" s="18">
        <f t="shared" si="25"/>
        <v>303.34107237069338</v>
      </c>
      <c r="BD9" s="18">
        <f t="shared" si="26"/>
        <v>554.81102291240234</v>
      </c>
      <c r="BE9" s="21">
        <f t="shared" si="27"/>
        <v>0.54674665758864549</v>
      </c>
      <c r="BF9" s="18">
        <f t="shared" si="86"/>
        <v>0.99999659722130263</v>
      </c>
      <c r="BG9" s="18">
        <f>EST_FEC!$B136*$D$13/SUM($D$9:$D$13)</f>
        <v>2580.2569150263398</v>
      </c>
      <c r="BH9" s="18">
        <f t="shared" si="28"/>
        <v>2580.2481349830755</v>
      </c>
      <c r="BI9" s="18">
        <f t="shared" si="29"/>
        <v>2580.2569150263398</v>
      </c>
      <c r="BJ9" s="21">
        <f t="shared" si="30"/>
        <v>0.99999659722130263</v>
      </c>
      <c r="BK9" s="21">
        <f t="shared" si="31"/>
        <v>0.29844591796663367</v>
      </c>
      <c r="BL9" s="18">
        <f t="shared" si="32"/>
        <v>118.50335180648472</v>
      </c>
      <c r="BM9" s="21">
        <f t="shared" si="33"/>
        <v>7.7689354646138286E-3</v>
      </c>
      <c r="BO9" s="21">
        <f t="shared" si="87"/>
        <v>0.53467427145638524</v>
      </c>
      <c r="BP9" s="18">
        <f>EST_FEC!$B83*$D$14/SUM($D$14:$D$26)</f>
        <v>4.7960388926665596</v>
      </c>
      <c r="BQ9" s="18">
        <f t="shared" si="34"/>
        <v>2.0758769625628894</v>
      </c>
      <c r="BR9" s="18">
        <f t="shared" si="35"/>
        <v>4.7858230312422343</v>
      </c>
      <c r="BS9" s="21">
        <f t="shared" si="36"/>
        <v>0.43375547925850982</v>
      </c>
      <c r="BT9" s="21">
        <f t="shared" si="88"/>
        <v>0.52287666423930845</v>
      </c>
      <c r="BU9" s="18">
        <f>EST_FEC!$B83*$D$15/SUM($D$14:D$26)</f>
        <v>207.59996921113822</v>
      </c>
      <c r="BV9" s="18">
        <f t="shared" si="37"/>
        <v>73.581407502226298</v>
      </c>
      <c r="BW9" s="18">
        <f t="shared" si="38"/>
        <v>206.66145292740168</v>
      </c>
      <c r="BX9" s="21">
        <f t="shared" si="39"/>
        <v>0.35604805085772229</v>
      </c>
      <c r="BY9" s="21">
        <f t="shared" si="89"/>
        <v>0.55984249101471661</v>
      </c>
      <c r="BZ9" s="18">
        <f>EST_FEC!$B83*$D$16/SUM($D$14:D$26)</f>
        <v>4.7960388926665596</v>
      </c>
      <c r="CA9" s="18">
        <f t="shared" si="40"/>
        <v>2.0966112164755311</v>
      </c>
      <c r="CB9" s="18">
        <f t="shared" si="41"/>
        <v>4.7704304223626002</v>
      </c>
      <c r="CC9" s="21">
        <f t="shared" si="42"/>
        <v>0.4395014769835307</v>
      </c>
      <c r="CD9" s="21">
        <f t="shared" si="90"/>
        <v>0.40377180672691854</v>
      </c>
      <c r="CE9" s="18">
        <f>EST_FEC!$B83*$D$17/SUM($D$16:D$26)</f>
        <v>312.87258783025186</v>
      </c>
      <c r="CF9" s="18">
        <f t="shared" si="43"/>
        <v>93.536790702989862</v>
      </c>
      <c r="CG9" s="18">
        <f t="shared" si="44"/>
        <v>311.96667680250789</v>
      </c>
      <c r="CH9" s="21">
        <f t="shared" si="45"/>
        <v>0.29982942941756502</v>
      </c>
      <c r="CI9" s="21">
        <f t="shared" si="91"/>
        <v>0.6017471255743615</v>
      </c>
      <c r="CJ9" s="18">
        <f>EST_FEC!$B83*$D$18/SUM($D$16:D$26)</f>
        <v>69.52724174005597</v>
      </c>
      <c r="CK9" s="18">
        <f t="shared" si="46"/>
        <v>29.3554552740028</v>
      </c>
      <c r="CL9" s="18">
        <f t="shared" si="47"/>
        <v>69.123373283666098</v>
      </c>
      <c r="CM9" s="21">
        <f t="shared" si="48"/>
        <v>0.42468204139191679</v>
      </c>
      <c r="CN9" s="21">
        <f t="shared" si="92"/>
        <v>0.75147510398034711</v>
      </c>
      <c r="CO9" s="18">
        <f>EST_FEC!$B83*$D$19/SUM($D$16:$D$26)</f>
        <v>283.90290377189524</v>
      </c>
      <c r="CP9" s="18">
        <f t="shared" si="49"/>
        <v>168.54040785294967</v>
      </c>
      <c r="CQ9" s="18">
        <f t="shared" si="50"/>
        <v>282.6048603475549</v>
      </c>
      <c r="CR9" s="21">
        <f t="shared" si="51"/>
        <v>0.59638184440874176</v>
      </c>
      <c r="CS9" s="18">
        <f t="shared" si="93"/>
        <v>0.78233769178455415</v>
      </c>
      <c r="CT9" s="18">
        <f>EST_FEC!$B83*$D$20/SUM($D$16:D$26)</f>
        <v>26.072715652520991</v>
      </c>
      <c r="CU9" s="18">
        <f t="shared" si="52"/>
        <v>14.56544602043774</v>
      </c>
      <c r="CV9" s="18">
        <f t="shared" si="53"/>
        <v>25.927327144922245</v>
      </c>
      <c r="CW9" s="21">
        <f t="shared" si="54"/>
        <v>0.56177969827060714</v>
      </c>
      <c r="CX9" s="21">
        <f t="shared" si="94"/>
        <v>0.61854600724590891</v>
      </c>
      <c r="CY9" s="18">
        <f>EST_FEC!$B83*$D$21/SUM($D$14:$D$26)</f>
        <v>543.32269169779738</v>
      </c>
      <c r="CZ9" s="18">
        <f t="shared" si="55"/>
        <v>212.49122183117319</v>
      </c>
      <c r="DA9" s="18">
        <f t="shared" si="56"/>
        <v>540.09670324717342</v>
      </c>
      <c r="DB9" s="21">
        <f t="shared" si="57"/>
        <v>0.3934318068479809</v>
      </c>
      <c r="DC9" s="21">
        <f t="shared" si="95"/>
        <v>0.53167430541852112</v>
      </c>
      <c r="DD9" s="18">
        <f>EST_FEC!$B83*$D$22/SUM($D$14:$D$26)</f>
        <v>637.87317272465248</v>
      </c>
      <c r="DE9" s="18">
        <f t="shared" si="58"/>
        <v>197.29177691790451</v>
      </c>
      <c r="DF9" s="18">
        <f t="shared" si="59"/>
        <v>631.75328614750356</v>
      </c>
      <c r="DG9" s="21">
        <f t="shared" si="60"/>
        <v>0.31229244270498385</v>
      </c>
      <c r="DH9" s="21">
        <f t="shared" si="96"/>
        <v>0.41752025824616396</v>
      </c>
      <c r="DI9" s="18">
        <f>EST_FEC!$B83*$D$23/SUM($D$14:$D$26)</f>
        <v>1410.7205828572064</v>
      </c>
      <c r="DJ9" s="18">
        <f t="shared" si="61"/>
        <v>313.35378530013605</v>
      </c>
      <c r="DK9" s="18">
        <f t="shared" si="62"/>
        <v>1406.2482517022775</v>
      </c>
      <c r="DL9" s="21">
        <f t="shared" si="63"/>
        <v>0.22282963546501708</v>
      </c>
      <c r="DM9" s="21">
        <f t="shared" si="97"/>
        <v>0.27977052652792328</v>
      </c>
      <c r="DN9" s="18">
        <f>EST_FEC!$B83*$D$24/SUM($D$14:$D$26)</f>
        <v>235.00590574066143</v>
      </c>
      <c r="DO9" s="18">
        <f t="shared" si="64"/>
        <v>28.38269908682804</v>
      </c>
      <c r="DP9" s="18">
        <f t="shared" si="65"/>
        <v>233.24408168870036</v>
      </c>
      <c r="DQ9" s="21">
        <f t="shared" si="66"/>
        <v>0.12168668495824499</v>
      </c>
      <c r="DR9" s="21">
        <f t="shared" si="98"/>
        <v>0.68254807971840603</v>
      </c>
      <c r="DS9" s="18">
        <f>EST_FEC!$B83*$D$25/SUM($D$14:$D$26)</f>
        <v>52.75642781933216</v>
      </c>
      <c r="DT9" s="18">
        <f t="shared" si="67"/>
        <v>24.224100809688199</v>
      </c>
      <c r="DU9" s="18">
        <f t="shared" si="68"/>
        <v>52.390568299799064</v>
      </c>
      <c r="DV9" s="21">
        <f t="shared" si="69"/>
        <v>0.46237522507999035</v>
      </c>
      <c r="DW9" s="21">
        <f t="shared" si="99"/>
        <v>0.71727300625141177</v>
      </c>
      <c r="DX9" s="18">
        <f>EST_FEC!$B83*$D$26/SUM($D$14:$D$26)</f>
        <v>182.93462633456733</v>
      </c>
      <c r="DY9" s="18">
        <f t="shared" si="70"/>
        <v>103.06485169329596</v>
      </c>
      <c r="DZ9" s="18">
        <f t="shared" si="71"/>
        <v>182.65399843401792</v>
      </c>
      <c r="EA9" s="21">
        <f t="shared" si="72"/>
        <v>0.56426277320464568</v>
      </c>
      <c r="EB9" s="21">
        <f t="shared" si="73"/>
        <v>0.3194554574842669</v>
      </c>
      <c r="EC9" s="18">
        <f t="shared" si="74"/>
        <v>19.954069686283219</v>
      </c>
      <c r="ED9" s="21">
        <f t="shared" si="75"/>
        <v>5.0234544127589738E-3</v>
      </c>
    </row>
    <row r="10" spans="1:134" ht="19.5" customHeight="1" thickBot="1" x14ac:dyDescent="0.4">
      <c r="A10" s="77"/>
      <c r="B10" s="23" t="s">
        <v>160</v>
      </c>
      <c r="C10" s="18">
        <f t="shared" si="100"/>
        <v>9.5409060214409429</v>
      </c>
      <c r="D10" s="18">
        <f t="shared" si="100"/>
        <v>9.5409060214409429</v>
      </c>
      <c r="E10" s="21">
        <f t="shared" si="0"/>
        <v>1</v>
      </c>
      <c r="F10" s="21">
        <f t="shared" ref="F10:F26" si="101">IF(D10=0,0,C10*J10/(D10+(C10*J10)-C10))</f>
        <v>1</v>
      </c>
      <c r="G10" s="55">
        <v>1</v>
      </c>
      <c r="H10" s="23" t="s">
        <v>200</v>
      </c>
      <c r="I10" s="23" t="s">
        <v>174</v>
      </c>
      <c r="J10" s="40">
        <v>1</v>
      </c>
      <c r="K10" s="84"/>
      <c r="L10" s="58">
        <f t="shared" si="76"/>
        <v>1</v>
      </c>
      <c r="M10" s="47">
        <f t="shared" si="77"/>
        <v>2027</v>
      </c>
      <c r="N10" s="21">
        <f t="shared" si="78"/>
        <v>0.32511190231765957</v>
      </c>
      <c r="O10" s="18">
        <f>EST_FEC!B190*D$5/SUM(D$5:D$8)</f>
        <v>109.99434078648186</v>
      </c>
      <c r="P10" s="18">
        <f t="shared" si="1"/>
        <v>24.932859080851927</v>
      </c>
      <c r="Q10" s="18">
        <f t="shared" si="2"/>
        <v>111.38014689962962</v>
      </c>
      <c r="R10" s="21">
        <f t="shared" si="3"/>
        <v>0.22385370979372302</v>
      </c>
      <c r="S10" s="21">
        <f t="shared" si="79"/>
        <v>3.7136810714655216E-2</v>
      </c>
      <c r="T10" s="18">
        <f>EST_FEC!B190*D$6/SUM(D$5:D$8)</f>
        <v>9858.4373692113513</v>
      </c>
      <c r="U10" s="18">
        <f t="shared" si="4"/>
        <v>147.23946210443816</v>
      </c>
      <c r="V10" s="18">
        <f t="shared" si="5"/>
        <v>9689.6943299203867</v>
      </c>
      <c r="W10" s="21">
        <f t="shared" si="6"/>
        <v>1.5195470268838492E-2</v>
      </c>
      <c r="X10" s="21">
        <f t="shared" si="80"/>
        <v>0</v>
      </c>
      <c r="Y10" s="18">
        <f>EST_FEC!$B190*$D$7/SUM($D$5:$D$8)</f>
        <v>18.447259995046323</v>
      </c>
      <c r="Z10" s="18">
        <f t="shared" si="7"/>
        <v>0</v>
      </c>
      <c r="AA10" s="18">
        <f t="shared" si="8"/>
        <v>18.447259995046323</v>
      </c>
      <c r="AB10" s="21">
        <f t="shared" si="9"/>
        <v>0</v>
      </c>
      <c r="AC10" s="21">
        <f t="shared" si="81"/>
        <v>0</v>
      </c>
      <c r="AD10" s="18">
        <f>EST_FEC!$B190*$D$8/SUM($D$5:$D$8)</f>
        <v>60.334056141159977</v>
      </c>
      <c r="AE10" s="18">
        <f t="shared" si="10"/>
        <v>0</v>
      </c>
      <c r="AF10" s="18">
        <f t="shared" si="11"/>
        <v>60.334056141159977</v>
      </c>
      <c r="AG10" s="21">
        <f t="shared" si="12"/>
        <v>0</v>
      </c>
      <c r="AH10" s="21">
        <f t="shared" si="13"/>
        <v>1.7426602654265377E-2</v>
      </c>
      <c r="AI10" s="18">
        <f t="shared" si="14"/>
        <v>167.35723317781594</v>
      </c>
      <c r="AJ10" s="21">
        <f t="shared" si="15"/>
        <v>1.66570802014946E-2</v>
      </c>
      <c r="AL10" s="21">
        <f t="shared" si="82"/>
        <v>0.26070612449525021</v>
      </c>
      <c r="AM10" s="18">
        <f>EST_FEC!B137*$D$9/SUM($D$9:$D$13)</f>
        <v>10342.541232510592</v>
      </c>
      <c r="AN10" s="18">
        <f t="shared" si="16"/>
        <v>1261.2746946767934</v>
      </c>
      <c r="AO10" s="18">
        <f t="shared" si="17"/>
        <v>10202.881445467423</v>
      </c>
      <c r="AP10" s="21">
        <f t="shared" si="18"/>
        <v>0.12361945999452029</v>
      </c>
      <c r="AQ10" s="21">
        <f t="shared" si="83"/>
        <v>1</v>
      </c>
      <c r="AR10" s="18">
        <f>EST_FEC!$B137*$D$10/SUM($D$9:$D$13)</f>
        <v>8.8073921472293808</v>
      </c>
      <c r="AS10" s="18">
        <f t="shared" si="19"/>
        <v>8.8073921472293808</v>
      </c>
      <c r="AT10" s="18">
        <f t="shared" si="20"/>
        <v>8.8073921472293808</v>
      </c>
      <c r="AU10" s="21">
        <f t="shared" si="21"/>
        <v>1</v>
      </c>
      <c r="AV10" s="18">
        <f t="shared" si="84"/>
        <v>0.41873768612341267</v>
      </c>
      <c r="AW10" s="18">
        <f>EST_FEC!$B137*$D$11/SUM($D$9:$D$13)</f>
        <v>1753.7263566317138</v>
      </c>
      <c r="AX10" s="18">
        <f t="shared" si="22"/>
        <v>388.13121928174809</v>
      </c>
      <c r="AY10" s="18">
        <f t="shared" si="23"/>
        <v>1735.0726224789644</v>
      </c>
      <c r="AZ10" s="21">
        <f t="shared" si="24"/>
        <v>0.22369739125225216</v>
      </c>
      <c r="BA10" s="18">
        <f t="shared" si="85"/>
        <v>0.55092538332477015</v>
      </c>
      <c r="BB10" s="18">
        <f>EST_FEC!$B137*$D$12/SUM($D$9:$D$13)</f>
        <v>554.20012343495205</v>
      </c>
      <c r="BC10" s="18">
        <f t="shared" si="25"/>
        <v>305.32291544203588</v>
      </c>
      <c r="BD10" s="18">
        <f t="shared" si="26"/>
        <v>554.20012343495205</v>
      </c>
      <c r="BE10" s="21">
        <f t="shared" si="27"/>
        <v>0.55092538332477015</v>
      </c>
      <c r="BF10" s="18">
        <f t="shared" si="86"/>
        <v>0.99999662859289462</v>
      </c>
      <c r="BG10" s="18">
        <f>EST_FEC!$B137*$D$13/SUM($D$9:$D$13)</f>
        <v>2577.4158078096839</v>
      </c>
      <c r="BH10" s="18">
        <f t="shared" si="28"/>
        <v>2577.407118291716</v>
      </c>
      <c r="BI10" s="18">
        <f t="shared" si="29"/>
        <v>2577.4158078096839</v>
      </c>
      <c r="BJ10" s="21">
        <f t="shared" si="30"/>
        <v>0.99999662859289462</v>
      </c>
      <c r="BK10" s="21">
        <f t="shared" si="31"/>
        <v>0.30115596804521289</v>
      </c>
      <c r="BL10" s="18">
        <f t="shared" si="32"/>
        <v>158.31352119591793</v>
      </c>
      <c r="BM10" s="21">
        <f t="shared" si="33"/>
        <v>1.0390282385113183E-2</v>
      </c>
      <c r="BO10" s="21">
        <f t="shared" si="87"/>
        <v>0.53644991445501355</v>
      </c>
      <c r="BP10" s="18">
        <f>EST_FEC!$B84*$D$14/SUM($D$14:$D$26)</f>
        <v>4.7713899634053103</v>
      </c>
      <c r="BQ10" s="18">
        <f t="shared" si="34"/>
        <v>2.072066644804996</v>
      </c>
      <c r="BR10" s="18">
        <f t="shared" si="35"/>
        <v>4.7577973474468074</v>
      </c>
      <c r="BS10" s="21">
        <f t="shared" si="36"/>
        <v>0.43550964731966485</v>
      </c>
      <c r="BT10" s="21">
        <f t="shared" si="88"/>
        <v>0.52516808423785144</v>
      </c>
      <c r="BU10" s="18">
        <f>EST_FEC!$B84*$D$15/SUM($D$14:D$26)</f>
        <v>206.53302270168703</v>
      </c>
      <c r="BV10" s="18">
        <f t="shared" si="37"/>
        <v>73.524041679276081</v>
      </c>
      <c r="BW10" s="18">
        <f t="shared" si="38"/>
        <v>205.28428890570416</v>
      </c>
      <c r="BX10" s="21">
        <f t="shared" si="39"/>
        <v>0.35815717837544214</v>
      </c>
      <c r="BY10" s="21">
        <f t="shared" si="89"/>
        <v>0.56355142722976792</v>
      </c>
      <c r="BZ10" s="18">
        <f>EST_FEC!$B84*$D$16/SUM($D$14:D$26)</f>
        <v>4.7713899634053103</v>
      </c>
      <c r="CA10" s="18">
        <f t="shared" si="40"/>
        <v>2.0996544065134262</v>
      </c>
      <c r="CB10" s="18">
        <f t="shared" si="41"/>
        <v>4.7373168600547082</v>
      </c>
      <c r="CC10" s="21">
        <f t="shared" si="42"/>
        <v>0.44321595294117155</v>
      </c>
      <c r="CD10" s="21">
        <f t="shared" si="90"/>
        <v>0.40604112902743406</v>
      </c>
      <c r="CE10" s="18">
        <f>EST_FEC!$B84*$D$17/SUM($D$16:D$26)</f>
        <v>311.26459955955551</v>
      </c>
      <c r="CF10" s="18">
        <f t="shared" si="43"/>
        <v>93.579068296610686</v>
      </c>
      <c r="CG10" s="18">
        <f t="shared" si="44"/>
        <v>310.0592483726868</v>
      </c>
      <c r="CH10" s="21">
        <f t="shared" si="45"/>
        <v>0.30181027912487868</v>
      </c>
      <c r="CI10" s="21">
        <f t="shared" si="91"/>
        <v>0.60441532330896752</v>
      </c>
      <c r="CJ10" s="18">
        <f>EST_FEC!$B84*$D$18/SUM($D$16:D$26)</f>
        <v>69.169911013234554</v>
      </c>
      <c r="CK10" s="18">
        <f t="shared" si="46"/>
        <v>29.334080428461114</v>
      </c>
      <c r="CL10" s="18">
        <f t="shared" si="47"/>
        <v>68.632547731036013</v>
      </c>
      <c r="CM10" s="21">
        <f t="shared" si="48"/>
        <v>0.42740771540958084</v>
      </c>
      <c r="CN10" s="21">
        <f t="shared" si="92"/>
        <v>0.75334132963987277</v>
      </c>
      <c r="CO10" s="18">
        <f>EST_FEC!$B84*$D$19/SUM($D$16:$D$26)</f>
        <v>282.44380330404107</v>
      </c>
      <c r="CP10" s="18">
        <f t="shared" si="49"/>
        <v>168.09061029845705</v>
      </c>
      <c r="CQ10" s="18">
        <f t="shared" si="50"/>
        <v>280.71670413622093</v>
      </c>
      <c r="CR10" s="21">
        <f t="shared" si="51"/>
        <v>0.59879090849146333</v>
      </c>
      <c r="CS10" s="18">
        <f t="shared" si="93"/>
        <v>0.78379848923059481</v>
      </c>
      <c r="CT10" s="18">
        <f>EST_FEC!$B84*$D$20/SUM($D$16:D$26)</f>
        <v>25.938716629962954</v>
      </c>
      <c r="CU10" s="18">
        <f t="shared" si="52"/>
        <v>14.517644991472766</v>
      </c>
      <c r="CV10" s="18">
        <f t="shared" si="53"/>
        <v>25.745271352419927</v>
      </c>
      <c r="CW10" s="21">
        <f t="shared" si="54"/>
        <v>0.56389559048513116</v>
      </c>
      <c r="CX10" s="21">
        <f t="shared" si="94"/>
        <v>0.62065835564851735</v>
      </c>
      <c r="CY10" s="18">
        <f>EST_FEC!$B84*$D$21/SUM($D$14:$D$26)</f>
        <v>540.53032014005873</v>
      </c>
      <c r="CZ10" s="18">
        <f t="shared" si="55"/>
        <v>212.12106981298177</v>
      </c>
      <c r="DA10" s="18">
        <f t="shared" si="56"/>
        <v>536.2380122988925</v>
      </c>
      <c r="DB10" s="21">
        <f t="shared" si="57"/>
        <v>0.39557260945303535</v>
      </c>
      <c r="DC10" s="21">
        <f t="shared" si="95"/>
        <v>0.53538411646080575</v>
      </c>
      <c r="DD10" s="18">
        <f>EST_FEC!$B84*$D$22/SUM($D$14:$D$26)</f>
        <v>634.59486513290631</v>
      </c>
      <c r="DE10" s="18">
        <f t="shared" si="58"/>
        <v>197.64735687964557</v>
      </c>
      <c r="DF10" s="18">
        <f t="shared" si="59"/>
        <v>626.45210903064458</v>
      </c>
      <c r="DG10" s="21">
        <f t="shared" si="60"/>
        <v>0.31550274000271122</v>
      </c>
      <c r="DH10" s="21">
        <f t="shared" si="96"/>
        <v>0.41886070105431716</v>
      </c>
      <c r="DI10" s="18">
        <f>EST_FEC!$B84*$D$23/SUM($D$14:$D$26)</f>
        <v>1403.4702763787907</v>
      </c>
      <c r="DJ10" s="18">
        <f t="shared" si="61"/>
        <v>312.7441714222403</v>
      </c>
      <c r="DK10" s="18">
        <f t="shared" si="62"/>
        <v>1397.51965926456</v>
      </c>
      <c r="DL10" s="21">
        <f t="shared" si="63"/>
        <v>0.22378516777847751</v>
      </c>
      <c r="DM10" s="21">
        <f t="shared" si="97"/>
        <v>0.28301915658307397</v>
      </c>
      <c r="DN10" s="18">
        <f>EST_FEC!$B84*$D$24/SUM($D$14:$D$26)</f>
        <v>233.79810820686023</v>
      </c>
      <c r="DO10" s="18">
        <f t="shared" si="64"/>
        <v>28.564707511837927</v>
      </c>
      <c r="DP10" s="18">
        <f t="shared" si="65"/>
        <v>231.45393019483885</v>
      </c>
      <c r="DQ10" s="21">
        <f t="shared" si="66"/>
        <v>0.12341422540456341</v>
      </c>
      <c r="DR10" s="21">
        <f t="shared" si="98"/>
        <v>0.68486692446308095</v>
      </c>
      <c r="DS10" s="18">
        <f>EST_FEC!$B84*$D$25/SUM($D$14:$D$26)</f>
        <v>52.485289597458419</v>
      </c>
      <c r="DT10" s="18">
        <f t="shared" si="67"/>
        <v>24.181477055420416</v>
      </c>
      <c r="DU10" s="18">
        <f t="shared" si="68"/>
        <v>51.998498739867628</v>
      </c>
      <c r="DV10" s="21">
        <f t="shared" si="69"/>
        <v>0.46504183084963374</v>
      </c>
      <c r="DW10" s="21">
        <f t="shared" si="99"/>
        <v>0.7179600682629238</v>
      </c>
      <c r="DX10" s="18">
        <f>EST_FEC!$B84*$D$26/SUM($D$14:$D$26)</f>
        <v>181.99444574703114</v>
      </c>
      <c r="DY10" s="18">
        <f t="shared" si="70"/>
        <v>102.63337305986983</v>
      </c>
      <c r="DZ10" s="18">
        <f t="shared" si="71"/>
        <v>181.62105899862377</v>
      </c>
      <c r="EA10" s="21">
        <f t="shared" si="72"/>
        <v>0.56509621530533816</v>
      </c>
      <c r="EB10" s="21">
        <f t="shared" si="73"/>
        <v>0.32128402107907256</v>
      </c>
      <c r="EC10" s="18">
        <f t="shared" si="74"/>
        <v>26.549695105401042</v>
      </c>
      <c r="ED10" s="21">
        <f t="shared" si="75"/>
        <v>6.7184378265269552E-3</v>
      </c>
    </row>
    <row r="11" spans="1:134" ht="19.5" customHeight="1" thickBot="1" x14ac:dyDescent="0.4">
      <c r="A11" s="77"/>
      <c r="B11" s="23" t="s">
        <v>161</v>
      </c>
      <c r="C11" s="18">
        <f t="shared" si="100"/>
        <v>406.98477039522908</v>
      </c>
      <c r="D11" s="18">
        <f t="shared" si="100"/>
        <v>1899.7835086985174</v>
      </c>
      <c r="E11" s="21">
        <f t="shared" si="0"/>
        <v>0.214226920347383</v>
      </c>
      <c r="F11" s="21">
        <f t="shared" si="101"/>
        <v>0.4053212243897783</v>
      </c>
      <c r="G11" s="49">
        <f>G9</f>
        <v>0.59</v>
      </c>
      <c r="H11" s="23" t="s">
        <v>200</v>
      </c>
      <c r="I11" s="23" t="s">
        <v>178</v>
      </c>
      <c r="J11" s="56">
        <f>'Efficiency Assumptions'!B7</f>
        <v>2.5</v>
      </c>
      <c r="K11" s="84"/>
      <c r="L11" s="58">
        <f t="shared" si="76"/>
        <v>0.7824933687002652</v>
      </c>
      <c r="M11" s="47">
        <f t="shared" si="77"/>
        <v>2028</v>
      </c>
      <c r="N11" s="21">
        <f t="shared" si="78"/>
        <v>0.33325944702074023</v>
      </c>
      <c r="O11" s="18">
        <f>EST_FEC!B191*D$5/SUM(D$5:D$8)</f>
        <v>110.88571749499293</v>
      </c>
      <c r="P11" s="18">
        <f t="shared" si="1"/>
        <v>25.764810478352413</v>
      </c>
      <c r="Q11" s="18">
        <f t="shared" si="2"/>
        <v>111.86056649050778</v>
      </c>
      <c r="R11" s="21">
        <f t="shared" si="3"/>
        <v>0.23032969782554027</v>
      </c>
      <c r="S11" s="21">
        <f t="shared" si="79"/>
        <v>4.6513865683455329E-2</v>
      </c>
      <c r="T11" s="18">
        <f>EST_FEC!B191*D$6/SUM(D$5:D$8)</f>
        <v>9938.328583526536</v>
      </c>
      <c r="U11" s="18">
        <f t="shared" si="4"/>
        <v>185.91195690818344</v>
      </c>
      <c r="V11" s="18">
        <f t="shared" si="5"/>
        <v>9712.012970648344</v>
      </c>
      <c r="W11" s="21">
        <f t="shared" si="6"/>
        <v>1.9142474116338886E-2</v>
      </c>
      <c r="X11" s="21">
        <f t="shared" si="80"/>
        <v>0</v>
      </c>
      <c r="Y11" s="18">
        <f>EST_FEC!$B191*$D$7/SUM($D$5:$D$8)</f>
        <v>18.596753666973971</v>
      </c>
      <c r="Z11" s="18">
        <f t="shared" si="7"/>
        <v>0</v>
      </c>
      <c r="AA11" s="18">
        <f t="shared" si="8"/>
        <v>18.596753666973971</v>
      </c>
      <c r="AB11" s="21">
        <f t="shared" si="9"/>
        <v>0</v>
      </c>
      <c r="AC11" s="21">
        <f t="shared" si="81"/>
        <v>0</v>
      </c>
      <c r="AD11" s="18">
        <f>EST_FEC!$B191*$D$8/SUM($D$5:$D$8)</f>
        <v>60.82299377185705</v>
      </c>
      <c r="AE11" s="18">
        <f t="shared" si="10"/>
        <v>0</v>
      </c>
      <c r="AF11" s="18">
        <f t="shared" si="11"/>
        <v>60.82299377185705</v>
      </c>
      <c r="AG11" s="21">
        <f t="shared" si="12"/>
        <v>0</v>
      </c>
      <c r="AH11" s="21">
        <f t="shared" si="13"/>
        <v>2.1374381360206543E-2</v>
      </c>
      <c r="AI11" s="18">
        <f t="shared" si="14"/>
        <v>225.34076388267749</v>
      </c>
      <c r="AJ11" s="21">
        <f t="shared" si="15"/>
        <v>2.2247892737020273E-2</v>
      </c>
      <c r="AL11" s="21">
        <f t="shared" si="82"/>
        <v>0.26711989270382352</v>
      </c>
      <c r="AM11" s="18">
        <f>EST_FEC!B138*$D$9/SUM($D$9:$D$13)</f>
        <v>10412.996386574261</v>
      </c>
      <c r="AN11" s="18">
        <f t="shared" si="16"/>
        <v>1301.107370452245</v>
      </c>
      <c r="AO11" s="18">
        <f t="shared" si="17"/>
        <v>10225.524226951289</v>
      </c>
      <c r="AP11" s="21">
        <f t="shared" si="18"/>
        <v>0.12724114104809731</v>
      </c>
      <c r="AQ11" s="21">
        <f t="shared" si="83"/>
        <v>1</v>
      </c>
      <c r="AR11" s="18">
        <f>EST_FEC!$B138*$D$10/SUM($D$9:$D$13)</f>
        <v>8.8673896040131801</v>
      </c>
      <c r="AS11" s="18">
        <f t="shared" si="19"/>
        <v>8.8673896040131801</v>
      </c>
      <c r="AT11" s="18">
        <f t="shared" si="20"/>
        <v>8.8673896040131801</v>
      </c>
      <c r="AU11" s="21">
        <f t="shared" si="21"/>
        <v>1</v>
      </c>
      <c r="AV11" s="18">
        <f t="shared" si="84"/>
        <v>0.42320894267195835</v>
      </c>
      <c r="AW11" s="18">
        <f>EST_FEC!$B138*$D$11/SUM($D$9:$D$13)</f>
        <v>1765.673039546896</v>
      </c>
      <c r="AX11" s="18">
        <f t="shared" si="22"/>
        <v>394.94791044825195</v>
      </c>
      <c r="AY11" s="18">
        <f t="shared" si="23"/>
        <v>1740.6332202783201</v>
      </c>
      <c r="AZ11" s="21">
        <f t="shared" si="24"/>
        <v>0.22689898471838968</v>
      </c>
      <c r="BA11" s="18">
        <f t="shared" si="85"/>
        <v>0.55644537357308899</v>
      </c>
      <c r="BB11" s="18">
        <f>EST_FEC!$B138*$D$12/SUM($D$9:$D$13)</f>
        <v>557.97542915536599</v>
      </c>
      <c r="BC11" s="18">
        <f t="shared" si="25"/>
        <v>310.48284612096228</v>
      </c>
      <c r="BD11" s="18">
        <f t="shared" si="26"/>
        <v>557.97542915536599</v>
      </c>
      <c r="BE11" s="21">
        <f t="shared" si="27"/>
        <v>0.55644537357308899</v>
      </c>
      <c r="BF11" s="18">
        <f t="shared" si="86"/>
        <v>0.99999667003396842</v>
      </c>
      <c r="BG11" s="18">
        <f>EST_FEC!$B138*$D$13/SUM($D$9:$D$13)</f>
        <v>2594.9736036881809</v>
      </c>
      <c r="BH11" s="18">
        <f t="shared" si="28"/>
        <v>2594.9649625142279</v>
      </c>
      <c r="BI11" s="18">
        <f t="shared" si="29"/>
        <v>2594.9736036881809</v>
      </c>
      <c r="BJ11" s="21">
        <f t="shared" si="30"/>
        <v>0.99999667003396842</v>
      </c>
      <c r="BK11" s="21">
        <f t="shared" si="31"/>
        <v>0.30475796156554874</v>
      </c>
      <c r="BL11" s="18">
        <f t="shared" si="32"/>
        <v>212.51197889154901</v>
      </c>
      <c r="BM11" s="21">
        <f t="shared" si="33"/>
        <v>1.3853014890749148E-2</v>
      </c>
      <c r="BO11" s="21">
        <f t="shared" si="87"/>
        <v>0.53879549362336887</v>
      </c>
      <c r="BP11" s="18">
        <f>EST_FEC!$B85*$D$14/SUM($D$14:$D$26)</f>
        <v>4.7844723449774298</v>
      </c>
      <c r="BQ11" s="18">
        <f t="shared" si="34"/>
        <v>2.0868326838224291</v>
      </c>
      <c r="BR11" s="18">
        <f t="shared" si="35"/>
        <v>4.7663000769899497</v>
      </c>
      <c r="BS11" s="21">
        <f t="shared" si="36"/>
        <v>0.43783073875204298</v>
      </c>
      <c r="BT11" s="21">
        <f t="shared" si="88"/>
        <v>0.52819499168416062</v>
      </c>
      <c r="BU11" s="18">
        <f>EST_FEC!$B85*$D$15/SUM($D$14:D$26)</f>
        <v>207.09930293259441</v>
      </c>
      <c r="BV11" s="18">
        <f t="shared" si="37"/>
        <v>74.15056463110065</v>
      </c>
      <c r="BW11" s="18">
        <f t="shared" si="38"/>
        <v>205.42984318658961</v>
      </c>
      <c r="BX11" s="21">
        <f t="shared" si="39"/>
        <v>0.36095322607899055</v>
      </c>
      <c r="BY11" s="21">
        <f t="shared" si="89"/>
        <v>0.56845083748819447</v>
      </c>
      <c r="BZ11" s="18">
        <f>EST_FEC!$B85*$D$16/SUM($D$14:D$26)</f>
        <v>4.7844723449774298</v>
      </c>
      <c r="CA11" s="18">
        <f t="shared" si="40"/>
        <v>2.1237153707511887</v>
      </c>
      <c r="CB11" s="18">
        <f t="shared" si="41"/>
        <v>4.7389192618076743</v>
      </c>
      <c r="CC11" s="21">
        <f t="shared" si="42"/>
        <v>0.44814339587230939</v>
      </c>
      <c r="CD11" s="21">
        <f t="shared" si="90"/>
        <v>0.40903884597756707</v>
      </c>
      <c r="CE11" s="18">
        <f>EST_FEC!$B85*$D$17/SUM($D$16:D$26)</f>
        <v>312.1180368791965</v>
      </c>
      <c r="CF11" s="18">
        <f t="shared" si="43"/>
        <v>94.528416012466309</v>
      </c>
      <c r="CG11" s="18">
        <f t="shared" si="44"/>
        <v>310.50657629988814</v>
      </c>
      <c r="CH11" s="21">
        <f t="shared" si="45"/>
        <v>0.30443289523494826</v>
      </c>
      <c r="CI11" s="21">
        <f t="shared" si="91"/>
        <v>0.6079399445465582</v>
      </c>
      <c r="CJ11" s="18">
        <f>EST_FEC!$B85*$D$18/SUM($D$16:D$26)</f>
        <v>69.359563750932551</v>
      </c>
      <c r="CK11" s="18">
        <f t="shared" si="46"/>
        <v>29.58603915810907</v>
      </c>
      <c r="CL11" s="18">
        <f t="shared" si="47"/>
        <v>68.641150930283786</v>
      </c>
      <c r="CM11" s="21">
        <f t="shared" si="48"/>
        <v>0.43102481175116786</v>
      </c>
      <c r="CN11" s="21">
        <f t="shared" si="92"/>
        <v>0.75580656619576536</v>
      </c>
      <c r="CO11" s="18">
        <f>EST_FEC!$B85*$D$19/SUM($D$16:$D$26)</f>
        <v>283.2182186496413</v>
      </c>
      <c r="CP11" s="18">
        <f t="shared" si="49"/>
        <v>169.10305605858127</v>
      </c>
      <c r="CQ11" s="18">
        <f t="shared" si="50"/>
        <v>280.90922169023361</v>
      </c>
      <c r="CR11" s="21">
        <f t="shared" si="51"/>
        <v>0.60198470894293354</v>
      </c>
      <c r="CS11" s="18">
        <f t="shared" si="93"/>
        <v>0.78572816544437563</v>
      </c>
      <c r="CT11" s="18">
        <f>EST_FEC!$B85*$D$20/SUM($D$16:D$26)</f>
        <v>26.009836406599707</v>
      </c>
      <c r="CU11" s="18">
        <f t="shared" si="52"/>
        <v>14.593289811635811</v>
      </c>
      <c r="CV11" s="18">
        <f t="shared" si="53"/>
        <v>25.75121514964988</v>
      </c>
      <c r="CW11" s="21">
        <f t="shared" si="54"/>
        <v>0.56670295855278208</v>
      </c>
      <c r="CX11" s="21">
        <f t="shared" si="94"/>
        <v>0.6234487140782774</v>
      </c>
      <c r="CY11" s="18">
        <f>EST_FEC!$B85*$D$21/SUM($D$14:$D$26)</f>
        <v>542.01236708101453</v>
      </c>
      <c r="CZ11" s="18">
        <f t="shared" si="55"/>
        <v>213.65894112757948</v>
      </c>
      <c r="DA11" s="18">
        <f t="shared" si="56"/>
        <v>536.27388608423189</v>
      </c>
      <c r="DB11" s="21">
        <f t="shared" si="57"/>
        <v>0.39841384537232588</v>
      </c>
      <c r="DC11" s="21">
        <f t="shared" si="95"/>
        <v>0.54028468234372207</v>
      </c>
      <c r="DD11" s="18">
        <f>EST_FEC!$B85*$D$22/SUM($D$14:$D$26)</f>
        <v>636.3348218819981</v>
      </c>
      <c r="DE11" s="18">
        <f t="shared" si="58"/>
        <v>200.00337268307237</v>
      </c>
      <c r="DF11" s="18">
        <f t="shared" si="59"/>
        <v>625.44859170388281</v>
      </c>
      <c r="DG11" s="21">
        <f t="shared" si="60"/>
        <v>0.31977587820321374</v>
      </c>
      <c r="DH11" s="21">
        <f t="shared" si="96"/>
        <v>0.42063139185736964</v>
      </c>
      <c r="DI11" s="18">
        <f>EST_FEC!$B85*$D$23/SUM($D$14:$D$26)</f>
        <v>1407.3183654726467</v>
      </c>
      <c r="DJ11" s="18">
        <f t="shared" si="61"/>
        <v>314.92738447769972</v>
      </c>
      <c r="DK11" s="18">
        <f t="shared" si="62"/>
        <v>1399.362854243549</v>
      </c>
      <c r="DL11" s="21">
        <f t="shared" si="63"/>
        <v>0.22505055320189946</v>
      </c>
      <c r="DM11" s="21">
        <f t="shared" si="97"/>
        <v>0.28731051413013753</v>
      </c>
      <c r="DN11" s="18">
        <f>EST_FEC!$B85*$D$24/SUM($D$14:$D$26)</f>
        <v>234.43914490389403</v>
      </c>
      <c r="DO11" s="18">
        <f t="shared" si="64"/>
        <v>29.077335288232728</v>
      </c>
      <c r="DP11" s="18">
        <f t="shared" si="65"/>
        <v>231.30516163129505</v>
      </c>
      <c r="DQ11" s="21">
        <f t="shared" si="66"/>
        <v>0.12570984185204898</v>
      </c>
      <c r="DR11" s="21">
        <f t="shared" si="98"/>
        <v>0.68793005930041073</v>
      </c>
      <c r="DS11" s="18">
        <f>EST_FEC!$B85*$D$25/SUM($D$14:$D$26)</f>
        <v>52.629195794751723</v>
      </c>
      <c r="DT11" s="18">
        <f t="shared" si="67"/>
        <v>24.356229345611087</v>
      </c>
      <c r="DU11" s="18">
        <f t="shared" si="68"/>
        <v>51.978394363665807</v>
      </c>
      <c r="DV11" s="21">
        <f t="shared" si="69"/>
        <v>0.46858371913536251</v>
      </c>
      <c r="DW11" s="21">
        <f t="shared" si="99"/>
        <v>0.71886765967787358</v>
      </c>
      <c r="DX11" s="18">
        <f>EST_FEC!$B85*$D$26/SUM($D$14:$D$26)</f>
        <v>182.49344515842481</v>
      </c>
      <c r="DY11" s="18">
        <f t="shared" si="70"/>
        <v>103.04487437560154</v>
      </c>
      <c r="DZ11" s="18">
        <f t="shared" si="71"/>
        <v>181.99425618142828</v>
      </c>
      <c r="EA11" s="21">
        <f t="shared" si="72"/>
        <v>0.56619849734640593</v>
      </c>
      <c r="EB11" s="21">
        <f t="shared" si="73"/>
        <v>0.32370909544886228</v>
      </c>
      <c r="EC11" s="18">
        <f t="shared" si="74"/>
        <v>35.49487279815412</v>
      </c>
      <c r="ED11" s="21">
        <f t="shared" si="75"/>
        <v>8.9574677380084965E-3</v>
      </c>
    </row>
    <row r="12" spans="1:134" ht="19.5" customHeight="1" thickBot="1" x14ac:dyDescent="0.4">
      <c r="A12" s="77"/>
      <c r="B12" s="23" t="s">
        <v>162</v>
      </c>
      <c r="C12" s="18">
        <f t="shared" si="100"/>
        <v>320.80752121666831</v>
      </c>
      <c r="D12" s="18">
        <f t="shared" si="100"/>
        <v>600.35606526583535</v>
      </c>
      <c r="E12" s="21">
        <f t="shared" si="0"/>
        <v>0.53436208906228999</v>
      </c>
      <c r="F12" s="21">
        <f t="shared" si="101"/>
        <v>0.53436208906228999</v>
      </c>
      <c r="G12" s="55">
        <v>1</v>
      </c>
      <c r="H12" s="23" t="s">
        <v>200</v>
      </c>
      <c r="I12" s="23" t="s">
        <v>177</v>
      </c>
      <c r="J12" s="40">
        <v>1</v>
      </c>
      <c r="K12" s="84"/>
      <c r="L12" s="58">
        <f t="shared" si="76"/>
        <v>1</v>
      </c>
      <c r="M12" s="47">
        <f t="shared" si="77"/>
        <v>2029</v>
      </c>
      <c r="N12" s="21">
        <f t="shared" si="78"/>
        <v>0.34389808834952013</v>
      </c>
      <c r="O12" s="18">
        <f>EST_FEC!B192*D$5/SUM(D$5:D$8)</f>
        <v>111.152959052075</v>
      </c>
      <c r="P12" s="18">
        <f t="shared" si="1"/>
        <v>26.65137759074327</v>
      </c>
      <c r="Q12" s="18">
        <f t="shared" si="2"/>
        <v>111.57755839436571</v>
      </c>
      <c r="R12" s="21">
        <f t="shared" si="3"/>
        <v>0.23885965936398437</v>
      </c>
      <c r="S12" s="21">
        <f t="shared" si="79"/>
        <v>5.8811924641084243E-2</v>
      </c>
      <c r="T12" s="18">
        <f>EST_FEC!B192*D$6/SUM(D$5:D$8)</f>
        <v>9962.2805808211815</v>
      </c>
      <c r="U12" s="18">
        <f t="shared" si="4"/>
        <v>235.63277489346163</v>
      </c>
      <c r="V12" s="18">
        <f t="shared" si="5"/>
        <v>9661.5285740036197</v>
      </c>
      <c r="W12" s="21">
        <f t="shared" si="6"/>
        <v>2.4388767583576922E-2</v>
      </c>
      <c r="X12" s="21">
        <f t="shared" si="80"/>
        <v>0</v>
      </c>
      <c r="Y12" s="18">
        <f>EST_FEC!$B192*$D$7/SUM($D$5:$D$8)</f>
        <v>18.641573013585116</v>
      </c>
      <c r="Z12" s="18">
        <f t="shared" si="7"/>
        <v>0</v>
      </c>
      <c r="AA12" s="18">
        <f t="shared" si="8"/>
        <v>18.641573013585116</v>
      </c>
      <c r="AB12" s="21">
        <f t="shared" si="9"/>
        <v>0</v>
      </c>
      <c r="AC12" s="21">
        <f t="shared" si="81"/>
        <v>0</v>
      </c>
      <c r="AD12" s="18">
        <f>EST_FEC!$B192*$D$8/SUM($D$5:$D$8)</f>
        <v>60.96958101437292</v>
      </c>
      <c r="AE12" s="18">
        <f t="shared" si="10"/>
        <v>0</v>
      </c>
      <c r="AF12" s="18">
        <f t="shared" si="11"/>
        <v>60.96958101437292</v>
      </c>
      <c r="AG12" s="21">
        <f t="shared" si="12"/>
        <v>0</v>
      </c>
      <c r="AH12" s="21">
        <f t="shared" si="13"/>
        <v>2.662048903458876E-2</v>
      </c>
      <c r="AI12" s="18">
        <f t="shared" si="14"/>
        <v>300.32740747527168</v>
      </c>
      <c r="AJ12" s="21">
        <f t="shared" si="15"/>
        <v>2.9580034022274517E-2</v>
      </c>
      <c r="AL12" s="21">
        <f t="shared" si="82"/>
        <v>0.27553158484299128</v>
      </c>
      <c r="AM12" s="18">
        <f>EST_FEC!B139*$D$9/SUM($D$9:$D$13)</f>
        <v>10424.71816365662</v>
      </c>
      <c r="AN12" s="18">
        <f t="shared" si="16"/>
        <v>1343.5904258823066</v>
      </c>
      <c r="AO12" s="18">
        <f t="shared" si="17"/>
        <v>10175.507345804212</v>
      </c>
      <c r="AP12" s="21">
        <f t="shared" si="18"/>
        <v>0.13204161524548702</v>
      </c>
      <c r="AQ12" s="21">
        <f t="shared" si="83"/>
        <v>1</v>
      </c>
      <c r="AR12" s="18">
        <f>EST_FEC!$B139*$D$10/SUM($D$9:$D$13)</f>
        <v>8.8773715112742515</v>
      </c>
      <c r="AS12" s="18">
        <f t="shared" si="19"/>
        <v>8.8773715112742515</v>
      </c>
      <c r="AT12" s="18">
        <f t="shared" si="20"/>
        <v>8.8773715112742515</v>
      </c>
      <c r="AU12" s="21">
        <f t="shared" si="21"/>
        <v>1</v>
      </c>
      <c r="AV12" s="18">
        <f t="shared" si="84"/>
        <v>0.42907302012822346</v>
      </c>
      <c r="AW12" s="18">
        <f>EST_FEC!$B139*$D$11/SUM($D$9:$D$13)</f>
        <v>1767.6606351439316</v>
      </c>
      <c r="AX12" s="18">
        <f t="shared" si="22"/>
        <v>400.87114486991618</v>
      </c>
      <c r="AY12" s="18">
        <f t="shared" si="23"/>
        <v>1734.3746589683328</v>
      </c>
      <c r="AZ12" s="21">
        <f t="shared" si="24"/>
        <v>0.23113295780530399</v>
      </c>
      <c r="BA12" s="18">
        <f t="shared" si="85"/>
        <v>0.56368487102140641</v>
      </c>
      <c r="BB12" s="18">
        <f>EST_FEC!$B139*$D$12/SUM($D$9:$D$13)</f>
        <v>558.60353497190363</v>
      </c>
      <c r="BC12" s="18">
        <f t="shared" si="25"/>
        <v>314.87636156273919</v>
      </c>
      <c r="BD12" s="18">
        <f t="shared" si="26"/>
        <v>558.60353497190363</v>
      </c>
      <c r="BE12" s="21">
        <f t="shared" si="27"/>
        <v>0.56368487102140641</v>
      </c>
      <c r="BF12" s="18">
        <f t="shared" si="86"/>
        <v>0.99999672438416376</v>
      </c>
      <c r="BG12" s="18">
        <f>EST_FEC!$B139*$D$13/SUM($D$9:$D$13)</f>
        <v>2597.8947323420102</v>
      </c>
      <c r="BH12" s="18">
        <f t="shared" si="28"/>
        <v>2597.8862226368842</v>
      </c>
      <c r="BI12" s="18">
        <f t="shared" si="29"/>
        <v>2597.8947323420102</v>
      </c>
      <c r="BJ12" s="21">
        <f t="shared" si="30"/>
        <v>0.99999672438416376</v>
      </c>
      <c r="BK12" s="21">
        <f t="shared" si="31"/>
        <v>0.30952051611832676</v>
      </c>
      <c r="BL12" s="18">
        <f t="shared" si="32"/>
        <v>282.49679402800757</v>
      </c>
      <c r="BM12" s="21">
        <f t="shared" si="33"/>
        <v>1.8394407540200303E-2</v>
      </c>
      <c r="BO12" s="21">
        <f t="shared" si="87"/>
        <v>0.54187173355138429</v>
      </c>
      <c r="BP12" s="18">
        <f>EST_FEC!$B86*$D$14/SUM($D$14:$D$26)</f>
        <v>4.7704937660056688</v>
      </c>
      <c r="BQ12" s="18">
        <f t="shared" si="34"/>
        <v>2.0926155884279325</v>
      </c>
      <c r="BR12" s="18">
        <f t="shared" si="35"/>
        <v>4.7464346359357741</v>
      </c>
      <c r="BS12" s="21">
        <f t="shared" si="36"/>
        <v>0.44088157721261167</v>
      </c>
      <c r="BT12" s="21">
        <f t="shared" si="88"/>
        <v>0.53216479738092304</v>
      </c>
      <c r="BU12" s="18">
        <f>EST_FEC!$B86*$D$15/SUM($D$14:D$26)</f>
        <v>206.49423015710249</v>
      </c>
      <c r="BV12" s="18">
        <f t="shared" si="37"/>
        <v>74.489594502937223</v>
      </c>
      <c r="BW12" s="18">
        <f t="shared" si="38"/>
        <v>204.28395298073374</v>
      </c>
      <c r="BX12" s="21">
        <f t="shared" si="39"/>
        <v>0.36463752250751885</v>
      </c>
      <c r="BY12" s="21">
        <f t="shared" si="89"/>
        <v>0.57487644088032752</v>
      </c>
      <c r="BZ12" s="18">
        <f>EST_FEC!$B86*$D$16/SUM($D$14:D$26)</f>
        <v>4.7704937660056688</v>
      </c>
      <c r="CA12" s="18">
        <f t="shared" si="40"/>
        <v>2.1414463322160824</v>
      </c>
      <c r="CB12" s="18">
        <f t="shared" si="41"/>
        <v>4.7101838721706795</v>
      </c>
      <c r="CC12" s="21">
        <f t="shared" si="42"/>
        <v>0.454641769903815</v>
      </c>
      <c r="CD12" s="21">
        <f t="shared" si="90"/>
        <v>0.41297036817869337</v>
      </c>
      <c r="CE12" s="18">
        <f>EST_FEC!$B86*$D$17/SUM($D$16:D$26)</f>
        <v>311.2061355633478</v>
      </c>
      <c r="CF12" s="18">
        <f t="shared" si="43"/>
        <v>95.158152382617658</v>
      </c>
      <c r="CG12" s="18">
        <f t="shared" si="44"/>
        <v>309.07264624287342</v>
      </c>
      <c r="CH12" s="21">
        <f t="shared" si="45"/>
        <v>0.30788280211585306</v>
      </c>
      <c r="CI12" s="21">
        <f t="shared" si="91"/>
        <v>0.61256250460698491</v>
      </c>
      <c r="CJ12" s="18">
        <f>EST_FEC!$B86*$D$18/SUM($D$16:D$26)</f>
        <v>69.156919014077289</v>
      </c>
      <c r="CK12" s="18">
        <f t="shared" si="46"/>
        <v>29.723903454374213</v>
      </c>
      <c r="CL12" s="18">
        <f t="shared" si="47"/>
        <v>68.205778104875577</v>
      </c>
      <c r="CM12" s="21">
        <f t="shared" si="48"/>
        <v>0.43579743945842397</v>
      </c>
      <c r="CN12" s="21">
        <f t="shared" si="92"/>
        <v>0.75903973744300068</v>
      </c>
      <c r="CO12" s="18">
        <f>EST_FEC!$B86*$D$19/SUM($D$16:$D$26)</f>
        <v>282.39075264081561</v>
      </c>
      <c r="CP12" s="18">
        <f t="shared" si="49"/>
        <v>169.33026674505723</v>
      </c>
      <c r="CQ12" s="18">
        <f t="shared" si="50"/>
        <v>279.33376172390552</v>
      </c>
      <c r="CR12" s="21">
        <f t="shared" si="51"/>
        <v>0.6061933426881061</v>
      </c>
      <c r="CS12" s="18">
        <f t="shared" si="93"/>
        <v>0.78825894636921512</v>
      </c>
      <c r="CT12" s="18">
        <f>EST_FEC!$B86*$D$20/SUM($D$16:D$26)</f>
        <v>25.93384463027898</v>
      </c>
      <c r="CU12" s="18">
        <f t="shared" si="52"/>
        <v>14.597519986665361</v>
      </c>
      <c r="CV12" s="18">
        <f t="shared" si="53"/>
        <v>25.59144364521303</v>
      </c>
      <c r="CW12" s="21">
        <f t="shared" si="54"/>
        <v>0.57040627285580581</v>
      </c>
      <c r="CX12" s="21">
        <f t="shared" si="94"/>
        <v>0.62710828444405675</v>
      </c>
      <c r="CY12" s="18">
        <f>EST_FEC!$B86*$D$21/SUM($D$14:$D$26)</f>
        <v>540.42879377749932</v>
      </c>
      <c r="CZ12" s="18">
        <f t="shared" si="55"/>
        <v>214.28519191451605</v>
      </c>
      <c r="DA12" s="18">
        <f t="shared" si="56"/>
        <v>532.83134579795524</v>
      </c>
      <c r="DB12" s="21">
        <f t="shared" si="57"/>
        <v>0.40216326161068428</v>
      </c>
      <c r="DC12" s="21">
        <f t="shared" si="95"/>
        <v>0.54671180134370378</v>
      </c>
      <c r="DD12" s="18">
        <f>EST_FEC!$B86*$D$22/SUM($D$14:$D$26)</f>
        <v>634.47567087875393</v>
      </c>
      <c r="DE12" s="18">
        <f t="shared" si="58"/>
        <v>201.79128086351255</v>
      </c>
      <c r="DF12" s="18">
        <f t="shared" si="59"/>
        <v>620.0628728721133</v>
      </c>
      <c r="DG12" s="21">
        <f t="shared" si="60"/>
        <v>0.32543680599488434</v>
      </c>
      <c r="DH12" s="21">
        <f t="shared" si="96"/>
        <v>0.42295366254514155</v>
      </c>
      <c r="DI12" s="18">
        <f>EST_FEC!$B86*$D$23/SUM($D$14:$D$26)</f>
        <v>1403.2066663150961</v>
      </c>
      <c r="DJ12" s="18">
        <f t="shared" si="61"/>
        <v>315.74088308581963</v>
      </c>
      <c r="DK12" s="18">
        <f t="shared" si="62"/>
        <v>1392.6739865436314</v>
      </c>
      <c r="DL12" s="21">
        <f t="shared" si="63"/>
        <v>0.22671557459720507</v>
      </c>
      <c r="DM12" s="21">
        <f t="shared" si="97"/>
        <v>0.29293865306050004</v>
      </c>
      <c r="DN12" s="18">
        <f>EST_FEC!$B86*$D$24/SUM($D$14:$D$26)</f>
        <v>233.75419453427779</v>
      </c>
      <c r="DO12" s="18">
        <f t="shared" si="64"/>
        <v>29.560314434552115</v>
      </c>
      <c r="DP12" s="18">
        <f t="shared" si="65"/>
        <v>229.60496499153263</v>
      </c>
      <c r="DQ12" s="21">
        <f t="shared" si="66"/>
        <v>0.1287442300546168</v>
      </c>
      <c r="DR12" s="21">
        <f t="shared" si="98"/>
        <v>0.69194737741894474</v>
      </c>
      <c r="DS12" s="18">
        <f>EST_FEC!$B86*$D$25/SUM($D$14:$D$26)</f>
        <v>52.475431426062357</v>
      </c>
      <c r="DT12" s="18">
        <f t="shared" si="67"/>
        <v>24.426886812819756</v>
      </c>
      <c r="DU12" s="18">
        <f t="shared" si="68"/>
        <v>51.613804451875247</v>
      </c>
      <c r="DV12" s="21">
        <f t="shared" si="69"/>
        <v>0.47326266823821145</v>
      </c>
      <c r="DW12" s="21">
        <f t="shared" si="99"/>
        <v>0.72005797079022482</v>
      </c>
      <c r="DX12" s="18">
        <f>EST_FEC!$B86*$D$26/SUM($D$14:$D$26)</f>
        <v>181.96026221764478</v>
      </c>
      <c r="DY12" s="18">
        <f t="shared" si="70"/>
        <v>102.91393741287564</v>
      </c>
      <c r="DZ12" s="18">
        <f t="shared" si="71"/>
        <v>181.29936218385197</v>
      </c>
      <c r="EA12" s="21">
        <f t="shared" si="72"/>
        <v>0.5676464394205244</v>
      </c>
      <c r="EB12" s="21">
        <f t="shared" si="73"/>
        <v>0.32690625267366585</v>
      </c>
      <c r="EC12" s="18">
        <f t="shared" si="74"/>
        <v>46.993350640300378</v>
      </c>
      <c r="ED12" s="21">
        <f t="shared" si="75"/>
        <v>1.1893967731973784E-2</v>
      </c>
    </row>
    <row r="13" spans="1:134" ht="19.5" customHeight="1" thickBot="1" x14ac:dyDescent="0.4">
      <c r="A13" s="77"/>
      <c r="B13" s="23" t="s">
        <v>179</v>
      </c>
      <c r="C13" s="18">
        <f t="shared" si="100"/>
        <v>2792.0632606916088</v>
      </c>
      <c r="D13" s="18">
        <f t="shared" si="100"/>
        <v>2792.073021095609</v>
      </c>
      <c r="E13" s="21">
        <f t="shared" si="0"/>
        <v>0.99999650424472197</v>
      </c>
      <c r="F13" s="21">
        <f t="shared" si="101"/>
        <v>0.99999650424472197</v>
      </c>
      <c r="G13" s="55">
        <v>1</v>
      </c>
      <c r="H13" s="23" t="s">
        <v>200</v>
      </c>
      <c r="I13" s="23" t="s">
        <v>687</v>
      </c>
      <c r="J13" s="40">
        <v>1</v>
      </c>
      <c r="K13" s="84"/>
      <c r="L13" s="58">
        <f t="shared" si="76"/>
        <v>1</v>
      </c>
      <c r="M13" s="47">
        <f t="shared" si="77"/>
        <v>2030</v>
      </c>
      <c r="N13" s="21">
        <f t="shared" si="78"/>
        <v>0.35764094812333319</v>
      </c>
      <c r="O13" s="18">
        <f>EST_FEC!B193*D$5/SUM(D$5:D$8)</f>
        <v>111.43022056367781</v>
      </c>
      <c r="P13" s="18">
        <f t="shared" si="1"/>
        <v>27.7855565108412</v>
      </c>
      <c r="Q13" s="18">
        <f t="shared" si="2"/>
        <v>111.14025802183606</v>
      </c>
      <c r="R13" s="21">
        <f t="shared" si="3"/>
        <v>0.2500044268871689</v>
      </c>
      <c r="S13" s="21">
        <f t="shared" si="79"/>
        <v>7.4789602926692594E-2</v>
      </c>
      <c r="T13" s="18">
        <f>EST_FEC!B193*D$6/SUM(D$5:D$8)</f>
        <v>9987.1306342647058</v>
      </c>
      <c r="U13" s="18">
        <f t="shared" si="4"/>
        <v>300.39554977424689</v>
      </c>
      <c r="V13" s="18">
        <f t="shared" si="5"/>
        <v>9589.3895903086504</v>
      </c>
      <c r="W13" s="21">
        <f t="shared" si="6"/>
        <v>3.1325826002296997E-2</v>
      </c>
      <c r="X13" s="21">
        <f t="shared" si="80"/>
        <v>0</v>
      </c>
      <c r="Y13" s="18">
        <f>EST_FEC!$B193*$D$7/SUM($D$5:$D$8)</f>
        <v>18.688072816707585</v>
      </c>
      <c r="Z13" s="18">
        <f t="shared" si="7"/>
        <v>0</v>
      </c>
      <c r="AA13" s="18">
        <f t="shared" si="8"/>
        <v>18.688072816707585</v>
      </c>
      <c r="AB13" s="21">
        <f t="shared" si="9"/>
        <v>0</v>
      </c>
      <c r="AC13" s="21">
        <f t="shared" si="81"/>
        <v>0</v>
      </c>
      <c r="AD13" s="18">
        <f>EST_FEC!$B193*$D$8/SUM($D$5:$D$8)</f>
        <v>61.121664398729031</v>
      </c>
      <c r="AE13" s="18">
        <f t="shared" si="10"/>
        <v>0</v>
      </c>
      <c r="AF13" s="18">
        <f t="shared" si="11"/>
        <v>61.121664398729031</v>
      </c>
      <c r="AG13" s="21">
        <f t="shared" si="12"/>
        <v>0</v>
      </c>
      <c r="AH13" s="21">
        <f t="shared" si="13"/>
        <v>3.3555185217709352E-2</v>
      </c>
      <c r="AI13" s="18">
        <f t="shared" si="14"/>
        <v>398.03100649789667</v>
      </c>
      <c r="AJ13" s="21">
        <f t="shared" si="15"/>
        <v>3.9105572242479333E-2</v>
      </c>
      <c r="AL13" s="21">
        <f t="shared" si="82"/>
        <v>0.2864600826897048</v>
      </c>
      <c r="AM13" s="18">
        <f>EST_FEC!B140*$D$9/SUM($D$9:$D$13)</f>
        <v>10437.331346602918</v>
      </c>
      <c r="AN13" s="18">
        <f t="shared" si="16"/>
        <v>1398.5718145278099</v>
      </c>
      <c r="AO13" s="18">
        <f t="shared" si="17"/>
        <v>10107.785394310005</v>
      </c>
      <c r="AP13" s="21">
        <f t="shared" si="18"/>
        <v>0.13836580021921624</v>
      </c>
      <c r="AQ13" s="21">
        <f t="shared" si="83"/>
        <v>1</v>
      </c>
      <c r="AR13" s="18">
        <f>EST_FEC!$B140*$D$10/SUM($D$9:$D$13)</f>
        <v>8.8881125125364537</v>
      </c>
      <c r="AS13" s="18">
        <f t="shared" si="19"/>
        <v>8.8881125125364537</v>
      </c>
      <c r="AT13" s="18">
        <f t="shared" si="20"/>
        <v>8.8881125125364537</v>
      </c>
      <c r="AU13" s="21">
        <f t="shared" si="21"/>
        <v>1</v>
      </c>
      <c r="AV13" s="18">
        <f t="shared" si="84"/>
        <v>0.4366916486744763</v>
      </c>
      <c r="AW13" s="18">
        <f>EST_FEC!$B140*$D$11/SUM($D$9:$D$13)</f>
        <v>1769.7993814033523</v>
      </c>
      <c r="AX13" s="18">
        <f t="shared" si="22"/>
        <v>408.48265869339969</v>
      </c>
      <c r="AY13" s="18">
        <f t="shared" si="23"/>
        <v>1725.7834000293683</v>
      </c>
      <c r="AZ13" s="21">
        <f t="shared" si="24"/>
        <v>0.23669404786628981</v>
      </c>
      <c r="BA13" s="18">
        <f t="shared" si="85"/>
        <v>0.57309044970477618</v>
      </c>
      <c r="BB13" s="18">
        <f>EST_FEC!$B140*$D$12/SUM($D$9:$D$13)</f>
        <v>559.27940634515687</v>
      </c>
      <c r="BC13" s="18">
        <f t="shared" si="25"/>
        <v>320.51768649296622</v>
      </c>
      <c r="BD13" s="18">
        <f t="shared" si="26"/>
        <v>559.27940634515687</v>
      </c>
      <c r="BE13" s="21">
        <f t="shared" si="27"/>
        <v>0.57309044970477618</v>
      </c>
      <c r="BF13" s="18">
        <f t="shared" si="86"/>
        <v>0.99999679499611471</v>
      </c>
      <c r="BG13" s="18">
        <f>EST_FEC!$B140*$D$13/SUM($D$9:$D$13)</f>
        <v>2601.0380040372092</v>
      </c>
      <c r="BH13" s="18">
        <f t="shared" si="28"/>
        <v>2601.0296677003007</v>
      </c>
      <c r="BI13" s="18">
        <f t="shared" si="29"/>
        <v>2601.0380040372092</v>
      </c>
      <c r="BJ13" s="21">
        <f t="shared" si="30"/>
        <v>0.99999679499611482</v>
      </c>
      <c r="BK13" s="21">
        <f t="shared" si="31"/>
        <v>0.31577425879724602</v>
      </c>
      <c r="BL13" s="18">
        <f t="shared" si="32"/>
        <v>373.56193366689695</v>
      </c>
      <c r="BM13" s="21">
        <f t="shared" si="33"/>
        <v>2.4294599673898475E-2</v>
      </c>
      <c r="BO13" s="21">
        <f t="shared" si="87"/>
        <v>0.54586839449344993</v>
      </c>
      <c r="BP13" s="18">
        <f>EST_FEC!$B87*$D$14/SUM($D$14:$D$26)</f>
        <v>4.7569562841915438</v>
      </c>
      <c r="BQ13" s="18">
        <f t="shared" si="34"/>
        <v>2.1020678819981815</v>
      </c>
      <c r="BR13" s="18">
        <f t="shared" si="35"/>
        <v>4.725270118376355</v>
      </c>
      <c r="BS13" s="21">
        <f t="shared" si="36"/>
        <v>0.44485665990253925</v>
      </c>
      <c r="BT13" s="21">
        <f t="shared" si="88"/>
        <v>0.53732238188249182</v>
      </c>
      <c r="BU13" s="18">
        <f>EST_FEC!$B87*$D$15/SUM($D$14:D$26)</f>
        <v>205.90825058714825</v>
      </c>
      <c r="BV13" s="18">
        <f t="shared" si="37"/>
        <v>74.998094002673398</v>
      </c>
      <c r="BW13" s="18">
        <f t="shared" si="38"/>
        <v>202.99728876498395</v>
      </c>
      <c r="BX13" s="21">
        <f t="shared" si="39"/>
        <v>0.36945367329265633</v>
      </c>
      <c r="BY13" s="21">
        <f t="shared" si="89"/>
        <v>0.5832246057528605</v>
      </c>
      <c r="BZ13" s="18">
        <f>EST_FEC!$B87*$D$16/SUM($D$14:D$26)</f>
        <v>4.7569562841915438</v>
      </c>
      <c r="CA13" s="18">
        <f t="shared" si="40"/>
        <v>2.1663785632262784</v>
      </c>
      <c r="CB13" s="18">
        <f t="shared" si="41"/>
        <v>4.6775274232643103</v>
      </c>
      <c r="CC13" s="21">
        <f t="shared" si="42"/>
        <v>0.46314609561699283</v>
      </c>
      <c r="CD13" s="21">
        <f t="shared" si="90"/>
        <v>0.41807821463793937</v>
      </c>
      <c r="CE13" s="18">
        <f>EST_FEC!$B87*$D$17/SUM($D$16:D$26)</f>
        <v>310.3230094956325</v>
      </c>
      <c r="CF13" s="18">
        <f t="shared" si="43"/>
        <v>96.061745910548979</v>
      </c>
      <c r="CG13" s="18">
        <f t="shared" si="44"/>
        <v>307.51317821008337</v>
      </c>
      <c r="CH13" s="21">
        <f t="shared" si="45"/>
        <v>0.31238253420451012</v>
      </c>
      <c r="CI13" s="21">
        <f t="shared" si="91"/>
        <v>0.61856814970560303</v>
      </c>
      <c r="CJ13" s="18">
        <f>EST_FEC!$B87*$D$18/SUM($D$16:D$26)</f>
        <v>68.960668776807225</v>
      </c>
      <c r="CK13" s="18">
        <f t="shared" si="46"/>
        <v>29.930144538887276</v>
      </c>
      <c r="CL13" s="18">
        <f t="shared" si="47"/>
        <v>67.708004674862551</v>
      </c>
      <c r="CM13" s="21">
        <f t="shared" si="48"/>
        <v>0.44204735736362971</v>
      </c>
      <c r="CN13" s="21">
        <f t="shared" si="92"/>
        <v>0.76324028406654409</v>
      </c>
      <c r="CO13" s="18">
        <f>EST_FEC!$B87*$D$19/SUM($D$16:$D$26)</f>
        <v>281.58939750529618</v>
      </c>
      <c r="CP13" s="18">
        <f t="shared" si="49"/>
        <v>169.78416843569727</v>
      </c>
      <c r="CQ13" s="18">
        <f t="shared" si="50"/>
        <v>277.56330342760771</v>
      </c>
      <c r="CR13" s="21">
        <f t="shared" si="51"/>
        <v>0.61169530099636993</v>
      </c>
      <c r="CS13" s="18">
        <f t="shared" si="93"/>
        <v>0.79154694519632729</v>
      </c>
      <c r="CT13" s="18">
        <f>EST_FEC!$B87*$D$20/SUM($D$16:D$26)</f>
        <v>25.860250791302711</v>
      </c>
      <c r="CU13" s="18">
        <f t="shared" si="52"/>
        <v>14.616812463181756</v>
      </c>
      <c r="CV13" s="18">
        <f t="shared" si="53"/>
        <v>25.409304545259523</v>
      </c>
      <c r="CW13" s="21">
        <f t="shared" si="54"/>
        <v>0.57525433004850723</v>
      </c>
      <c r="CX13" s="21">
        <f t="shared" si="94"/>
        <v>0.63186281019234136</v>
      </c>
      <c r="CY13" s="18">
        <f>EST_FEC!$B87*$D$21/SUM($D$14:$D$26)</f>
        <v>538.89519048055638</v>
      </c>
      <c r="CZ13" s="18">
        <f t="shared" si="55"/>
        <v>215.29713201680875</v>
      </c>
      <c r="DA13" s="18">
        <f t="shared" si="56"/>
        <v>528.88925943680113</v>
      </c>
      <c r="DB13" s="21">
        <f t="shared" si="57"/>
        <v>0.40707412407291543</v>
      </c>
      <c r="DC13" s="21">
        <f t="shared" si="95"/>
        <v>0.55506193529889414</v>
      </c>
      <c r="DD13" s="18">
        <f>EST_FEC!$B87*$D$22/SUM($D$14:$D$26)</f>
        <v>632.67518579747536</v>
      </c>
      <c r="DE13" s="18">
        <f t="shared" si="58"/>
        <v>204.29193480645688</v>
      </c>
      <c r="DF13" s="18">
        <f t="shared" si="59"/>
        <v>613.69335618965056</v>
      </c>
      <c r="DG13" s="21">
        <f t="shared" si="60"/>
        <v>0.3328892723800716</v>
      </c>
      <c r="DH13" s="21">
        <f t="shared" si="96"/>
        <v>0.42597076419257685</v>
      </c>
      <c r="DI13" s="18">
        <f>EST_FEC!$B87*$D$23/SUM($D$14:$D$26)</f>
        <v>1399.2247127357698</v>
      </c>
      <c r="DJ13" s="18">
        <f t="shared" si="61"/>
        <v>317.09080602456174</v>
      </c>
      <c r="DK13" s="18">
        <f t="shared" si="62"/>
        <v>1385.3530458572347</v>
      </c>
      <c r="DL13" s="21">
        <f t="shared" si="63"/>
        <v>0.22888808522332366</v>
      </c>
      <c r="DM13" s="21">
        <f t="shared" si="97"/>
        <v>0.30025074950481384</v>
      </c>
      <c r="DN13" s="18">
        <f>EST_FEC!$B87*$D$24/SUM($D$14:$D$26)</f>
        <v>233.09085792538568</v>
      </c>
      <c r="DO13" s="18">
        <f t="shared" si="64"/>
        <v>30.212196236059974</v>
      </c>
      <c r="DP13" s="18">
        <f t="shared" si="65"/>
        <v>227.62627234333189</v>
      </c>
      <c r="DQ13" s="21">
        <f t="shared" si="66"/>
        <v>0.13272719324107937</v>
      </c>
      <c r="DR13" s="21">
        <f t="shared" si="98"/>
        <v>0.69716669021375477</v>
      </c>
      <c r="DS13" s="18">
        <f>EST_FEC!$B87*$D$25/SUM($D$14:$D$26)</f>
        <v>52.326519126106987</v>
      </c>
      <c r="DT13" s="18">
        <f t="shared" si="67"/>
        <v>24.541296864245918</v>
      </c>
      <c r="DU13" s="18">
        <f t="shared" si="68"/>
        <v>51.191745961174689</v>
      </c>
      <c r="DV13" s="21">
        <f t="shared" si="69"/>
        <v>0.47939948918442343</v>
      </c>
      <c r="DW13" s="21">
        <f t="shared" si="99"/>
        <v>0.72160442686743653</v>
      </c>
      <c r="DX13" s="18">
        <f>EST_FEC!$B87*$D$26/SUM($D$14:$D$26)</f>
        <v>181.44390398273461</v>
      </c>
      <c r="DY13" s="18">
        <f t="shared" si="70"/>
        <v>102.84229237252167</v>
      </c>
      <c r="DZ13" s="18">
        <f t="shared" si="71"/>
        <v>180.57349063041531</v>
      </c>
      <c r="EA13" s="21">
        <f t="shared" si="72"/>
        <v>0.56953150771733041</v>
      </c>
      <c r="EB13" s="21">
        <f t="shared" si="73"/>
        <v>0.33108850189642047</v>
      </c>
      <c r="EC13" s="18">
        <f t="shared" si="74"/>
        <v>61.890812189553344</v>
      </c>
      <c r="ED13" s="21">
        <f t="shared" si="75"/>
        <v>1.5709078096212852E-2</v>
      </c>
    </row>
    <row r="14" spans="1:134" ht="19.5" customHeight="1" thickBot="1" x14ac:dyDescent="0.4">
      <c r="A14" s="77" t="s">
        <v>126</v>
      </c>
      <c r="B14" s="31" t="s">
        <v>31</v>
      </c>
      <c r="C14" s="34">
        <v>3</v>
      </c>
      <c r="D14" s="34">
        <v>7</v>
      </c>
      <c r="E14" s="21">
        <f t="shared" si="0"/>
        <v>0.42857142857142855</v>
      </c>
      <c r="F14" s="21">
        <f t="shared" si="101"/>
        <v>0.52941176470588236</v>
      </c>
      <c r="G14" s="49">
        <f>64%</f>
        <v>0.64</v>
      </c>
      <c r="H14" s="23" t="s">
        <v>200</v>
      </c>
      <c r="I14" s="23" t="s">
        <v>181</v>
      </c>
      <c r="J14" s="56">
        <f>'Efficiency Assumptions'!G24</f>
        <v>1.5</v>
      </c>
      <c r="K14" s="84"/>
      <c r="L14" s="58">
        <f t="shared" si="76"/>
        <v>0.72727272727272718</v>
      </c>
      <c r="M14" s="47">
        <f t="shared" si="77"/>
        <v>2031</v>
      </c>
      <c r="N14" s="21">
        <f t="shared" si="78"/>
        <v>0.3751493618813454</v>
      </c>
      <c r="O14" s="18">
        <f>EST_FEC!B194*D$5/SUM(D$5:D$8)</f>
        <v>111.75046910601424</v>
      </c>
      <c r="P14" s="18">
        <f t="shared" si="1"/>
        <v>29.229570835002988</v>
      </c>
      <c r="Q14" s="18">
        <f t="shared" si="2"/>
        <v>110.54535129218422</v>
      </c>
      <c r="R14" s="21">
        <f t="shared" si="3"/>
        <v>0.26441248314228821</v>
      </c>
      <c r="S14" s="21">
        <f t="shared" si="79"/>
        <v>9.5295585565729812E-2</v>
      </c>
      <c r="T14" s="18">
        <f>EST_FEC!B194*D$6/SUM(D$5:D$8)</f>
        <v>10015.833476380314</v>
      </c>
      <c r="U14" s="18">
        <f t="shared" si="4"/>
        <v>383.85872353126939</v>
      </c>
      <c r="V14" s="18">
        <f t="shared" si="5"/>
        <v>9493.080042626636</v>
      </c>
      <c r="W14" s="21">
        <f t="shared" si="6"/>
        <v>4.0435635411018793E-2</v>
      </c>
      <c r="X14" s="21">
        <f t="shared" si="80"/>
        <v>0</v>
      </c>
      <c r="Y14" s="18">
        <f>EST_FEC!$B194*$D$7/SUM($D$5:$D$8)</f>
        <v>18.741782017392577</v>
      </c>
      <c r="Z14" s="18">
        <f t="shared" si="7"/>
        <v>0</v>
      </c>
      <c r="AA14" s="18">
        <f t="shared" si="8"/>
        <v>18.741782017392577</v>
      </c>
      <c r="AB14" s="21">
        <f t="shared" si="9"/>
        <v>0</v>
      </c>
      <c r="AC14" s="21">
        <f t="shared" si="81"/>
        <v>0</v>
      </c>
      <c r="AD14" s="18">
        <f>EST_FEC!$B194*$D$8/SUM($D$5:$D$8)</f>
        <v>61.297327013680807</v>
      </c>
      <c r="AE14" s="18">
        <f t="shared" si="10"/>
        <v>0</v>
      </c>
      <c r="AF14" s="18">
        <f t="shared" si="11"/>
        <v>61.297327013680807</v>
      </c>
      <c r="AG14" s="21">
        <f t="shared" si="12"/>
        <v>0</v>
      </c>
      <c r="AH14" s="21">
        <f t="shared" si="13"/>
        <v>4.2658261677739361E-2</v>
      </c>
      <c r="AI14" s="18">
        <f t="shared" si="14"/>
        <v>523.95855156750804</v>
      </c>
      <c r="AJ14" s="21">
        <f t="shared" si="15"/>
        <v>5.1330123454708609E-2</v>
      </c>
      <c r="AL14" s="21">
        <f t="shared" si="82"/>
        <v>0.30048587436666685</v>
      </c>
      <c r="AM14" s="18">
        <f>EST_FEC!B141*$D$9/SUM($D$9:$D$13)</f>
        <v>10453.916399018332</v>
      </c>
      <c r="AN14" s="18">
        <f t="shared" si="16"/>
        <v>1469.38049765808</v>
      </c>
      <c r="AO14" s="18">
        <f t="shared" si="17"/>
        <v>10020.967291948868</v>
      </c>
      <c r="AP14" s="21">
        <f t="shared" si="18"/>
        <v>0.1466306050952409</v>
      </c>
      <c r="AQ14" s="21">
        <f t="shared" si="83"/>
        <v>1</v>
      </c>
      <c r="AR14" s="18">
        <f>EST_FEC!$B141*$D$10/SUM($D$9:$D$13)</f>
        <v>8.902235836497276</v>
      </c>
      <c r="AS14" s="18">
        <f t="shared" si="19"/>
        <v>8.902235836497276</v>
      </c>
      <c r="AT14" s="18">
        <f t="shared" si="20"/>
        <v>8.902235836497276</v>
      </c>
      <c r="AU14" s="21">
        <f t="shared" si="21"/>
        <v>1</v>
      </c>
      <c r="AV14" s="18">
        <f t="shared" si="84"/>
        <v>0.44646950637758542</v>
      </c>
      <c r="AW14" s="18">
        <f>EST_FEC!$B141*$D$11/SUM($D$9:$D$13)</f>
        <v>1772.6116151564656</v>
      </c>
      <c r="AX14" s="18">
        <f t="shared" si="22"/>
        <v>418.29251331788151</v>
      </c>
      <c r="AY14" s="18">
        <f t="shared" si="23"/>
        <v>1714.7845361100985</v>
      </c>
      <c r="AZ14" s="21">
        <f t="shared" si="24"/>
        <v>0.24393298662860396</v>
      </c>
      <c r="BA14" s="18">
        <f t="shared" si="85"/>
        <v>0.58516170497376008</v>
      </c>
      <c r="BB14" s="18">
        <f>EST_FEC!$B141*$D$12/SUM($D$9:$D$13)</f>
        <v>560.16810844352574</v>
      </c>
      <c r="BC14" s="18">
        <f t="shared" si="25"/>
        <v>327.78892540873966</v>
      </c>
      <c r="BD14" s="18">
        <f t="shared" si="26"/>
        <v>560.16810844352574</v>
      </c>
      <c r="BE14" s="21">
        <f t="shared" si="27"/>
        <v>0.58516170497376008</v>
      </c>
      <c r="BF14" s="18">
        <f t="shared" si="86"/>
        <v>0.99999688562051048</v>
      </c>
      <c r="BG14" s="18">
        <f>EST_FEC!$B141*$D$13/SUM($D$9:$D$13)</f>
        <v>2605.1710865464165</v>
      </c>
      <c r="BH14" s="18">
        <f t="shared" si="28"/>
        <v>2605.162973055018</v>
      </c>
      <c r="BI14" s="18">
        <f t="shared" si="29"/>
        <v>2605.1710865464165</v>
      </c>
      <c r="BJ14" s="21">
        <f t="shared" si="30"/>
        <v>0.99999688562051059</v>
      </c>
      <c r="BK14" s="21">
        <f t="shared" si="31"/>
        <v>0.32391209448724106</v>
      </c>
      <c r="BL14" s="18">
        <f t="shared" si="32"/>
        <v>490.77618611582875</v>
      </c>
      <c r="BM14" s="21">
        <f t="shared" si="33"/>
        <v>3.1866991312899912E-2</v>
      </c>
      <c r="BO14" s="21">
        <f t="shared" si="87"/>
        <v>0.55099776676062928</v>
      </c>
      <c r="BP14" s="18">
        <f>EST_FEC!$B88*$D$14/SUM($D$14:$D$26)</f>
        <v>4.7452532064298119</v>
      </c>
      <c r="BQ14" s="18">
        <f t="shared" si="34"/>
        <v>2.1166003157505333</v>
      </c>
      <c r="BR14" s="18">
        <f t="shared" si="35"/>
        <v>4.7037930213609327</v>
      </c>
      <c r="BS14" s="21">
        <f t="shared" si="36"/>
        <v>0.44997734937285666</v>
      </c>
      <c r="BT14" s="21">
        <f t="shared" si="88"/>
        <v>0.54394170018130861</v>
      </c>
      <c r="BU14" s="18">
        <f>EST_FEC!$B88*$D$15/SUM($D$14:D$26)</f>
        <v>205.40167450689043</v>
      </c>
      <c r="BV14" s="18">
        <f t="shared" si="37"/>
        <v>75.735218116369936</v>
      </c>
      <c r="BW14" s="18">
        <f t="shared" si="38"/>
        <v>201.59278779654187</v>
      </c>
      <c r="BX14" s="21">
        <f t="shared" si="39"/>
        <v>0.37568416481648109</v>
      </c>
      <c r="BY14" s="21">
        <f t="shared" si="89"/>
        <v>0.59393876089379705</v>
      </c>
      <c r="BZ14" s="18">
        <f>EST_FEC!$B88*$D$16/SUM($D$14:D$26)</f>
        <v>4.7452532064298119</v>
      </c>
      <c r="CA14" s="18">
        <f t="shared" si="40"/>
        <v>2.2007484818989447</v>
      </c>
      <c r="CB14" s="18">
        <f t="shared" si="41"/>
        <v>4.641323456990869</v>
      </c>
      <c r="CC14" s="21">
        <f t="shared" si="42"/>
        <v>0.47416399703496775</v>
      </c>
      <c r="CD14" s="21">
        <f t="shared" si="90"/>
        <v>0.4246336984162371</v>
      </c>
      <c r="CE14" s="18">
        <f>EST_FEC!$B88*$D$17/SUM($D$16:D$26)</f>
        <v>309.55955192015483</v>
      </c>
      <c r="CF14" s="18">
        <f t="shared" si="43"/>
        <v>97.327961003963068</v>
      </c>
      <c r="CG14" s="18">
        <f t="shared" si="44"/>
        <v>305.88299080541907</v>
      </c>
      <c r="CH14" s="21">
        <f t="shared" si="45"/>
        <v>0.31818690129741856</v>
      </c>
      <c r="CI14" s="21">
        <f t="shared" si="91"/>
        <v>0.62627588119994715</v>
      </c>
      <c r="CJ14" s="18">
        <f>EST_FEC!$B88*$D$18/SUM($D$16:D$26)</f>
        <v>68.791011537812182</v>
      </c>
      <c r="CK14" s="18">
        <f t="shared" si="46"/>
        <v>30.228540400442682</v>
      </c>
      <c r="CL14" s="18">
        <f t="shared" si="47"/>
        <v>67.15194653390212</v>
      </c>
      <c r="CM14" s="21">
        <f t="shared" si="48"/>
        <v>0.45015136508636572</v>
      </c>
      <c r="CN14" s="21">
        <f t="shared" si="92"/>
        <v>0.76863132615645979</v>
      </c>
      <c r="CO14" s="18">
        <f>EST_FEC!$B88*$D$19/SUM($D$16:$D$26)</f>
        <v>280.89663044606641</v>
      </c>
      <c r="CP14" s="18">
        <f t="shared" si="49"/>
        <v>170.56276150733549</v>
      </c>
      <c r="CQ14" s="18">
        <f t="shared" si="50"/>
        <v>275.62863410535215</v>
      </c>
      <c r="CR14" s="21">
        <f t="shared" si="51"/>
        <v>0.61881365142252287</v>
      </c>
      <c r="CS14" s="18">
        <f t="shared" si="93"/>
        <v>0.79576681028940943</v>
      </c>
      <c r="CT14" s="18">
        <f>EST_FEC!$B88*$D$20/SUM($D$16:D$26)</f>
        <v>25.796629326679568</v>
      </c>
      <c r="CU14" s="18">
        <f t="shared" si="52"/>
        <v>14.6585850250605</v>
      </c>
      <c r="CV14" s="18">
        <f t="shared" si="53"/>
        <v>25.206582713715605</v>
      </c>
      <c r="CW14" s="21">
        <f t="shared" si="54"/>
        <v>0.58153797329633083</v>
      </c>
      <c r="CX14" s="21">
        <f t="shared" si="94"/>
        <v>0.63796483707687301</v>
      </c>
      <c r="CY14" s="18">
        <f>EST_FEC!$B88*$D$21/SUM($D$14:$D$26)</f>
        <v>537.56939895697724</v>
      </c>
      <c r="CZ14" s="18">
        <f t="shared" si="55"/>
        <v>216.84151013263883</v>
      </c>
      <c r="DA14" s="18">
        <f t="shared" si="56"/>
        <v>524.4770054095801</v>
      </c>
      <c r="DB14" s="21">
        <f t="shared" si="57"/>
        <v>0.41344331190134959</v>
      </c>
      <c r="DC14" s="21">
        <f t="shared" si="95"/>
        <v>0.56577861758889858</v>
      </c>
      <c r="DD14" s="18">
        <f>EST_FEC!$B88*$D$22/SUM($D$14:$D$26)</f>
        <v>631.11867645516486</v>
      </c>
      <c r="DE14" s="18">
        <f t="shared" si="58"/>
        <v>207.72393315286979</v>
      </c>
      <c r="DF14" s="18">
        <f t="shared" si="59"/>
        <v>606.28164905726157</v>
      </c>
      <c r="DG14" s="21">
        <f t="shared" si="60"/>
        <v>0.34261952918395333</v>
      </c>
      <c r="DH14" s="21">
        <f t="shared" si="96"/>
        <v>0.42984295594012539</v>
      </c>
      <c r="DI14" s="18">
        <f>EST_FEC!$B88*$D$23/SUM($D$14:$D$26)</f>
        <v>1395.7823360055688</v>
      </c>
      <c r="DJ14" s="18">
        <f t="shared" si="61"/>
        <v>319.18604979586524</v>
      </c>
      <c r="DK14" s="18">
        <f t="shared" si="62"/>
        <v>1377.631768993065</v>
      </c>
      <c r="DL14" s="21">
        <f t="shared" si="63"/>
        <v>0.2316918475458532</v>
      </c>
      <c r="DM14" s="21">
        <f t="shared" si="97"/>
        <v>0.30963519948946039</v>
      </c>
      <c r="DN14" s="18">
        <f>EST_FEC!$B88*$D$24/SUM($D$14:$D$26)</f>
        <v>232.51740711506076</v>
      </c>
      <c r="DO14" s="18">
        <f t="shared" si="64"/>
        <v>31.07983849333667</v>
      </c>
      <c r="DP14" s="18">
        <f t="shared" si="65"/>
        <v>225.36719743434023</v>
      </c>
      <c r="DQ14" s="21">
        <f t="shared" si="66"/>
        <v>0.13790755197367022</v>
      </c>
      <c r="DR14" s="21">
        <f t="shared" si="98"/>
        <v>0.70386523149396585</v>
      </c>
      <c r="DS14" s="18">
        <f>EST_FEC!$B88*$D$25/SUM($D$14:$D$26)</f>
        <v>52.197785270727934</v>
      </c>
      <c r="DT14" s="18">
        <f t="shared" si="67"/>
        <v>24.716138725144909</v>
      </c>
      <c r="DU14" s="18">
        <f t="shared" si="68"/>
        <v>50.712976231234165</v>
      </c>
      <c r="DV14" s="21">
        <f t="shared" si="69"/>
        <v>0.48737306626311194</v>
      </c>
      <c r="DW14" s="21">
        <f t="shared" si="99"/>
        <v>0.72358917088997066</v>
      </c>
      <c r="DX14" s="18">
        <f>EST_FEC!$B88*$D$26/SUM($D$14:$D$26)</f>
        <v>180.9975151595371</v>
      </c>
      <c r="DY14" s="18">
        <f t="shared" si="70"/>
        <v>102.87144716095881</v>
      </c>
      <c r="DZ14" s="18">
        <f t="shared" si="71"/>
        <v>179.85861123269206</v>
      </c>
      <c r="EA14" s="21">
        <f t="shared" si="72"/>
        <v>0.57195730833187008</v>
      </c>
      <c r="EB14" s="21">
        <f t="shared" si="73"/>
        <v>0.33650380397873481</v>
      </c>
      <c r="EC14" s="18">
        <f t="shared" si="74"/>
        <v>80.981856322044678</v>
      </c>
      <c r="ED14" s="21">
        <f t="shared" si="75"/>
        <v>2.0605445734654886E-2</v>
      </c>
    </row>
    <row r="15" spans="1:134" ht="19.5" customHeight="1" thickBot="1" x14ac:dyDescent="0.4">
      <c r="A15" s="77"/>
      <c r="B15" s="31" t="s">
        <v>33</v>
      </c>
      <c r="C15" s="34">
        <v>106</v>
      </c>
      <c r="D15" s="34">
        <v>303</v>
      </c>
      <c r="E15" s="21">
        <f t="shared" si="0"/>
        <v>0.34983498349834985</v>
      </c>
      <c r="F15" s="21">
        <f t="shared" si="101"/>
        <v>0.5160855394355699</v>
      </c>
      <c r="G15" s="49">
        <f>63%</f>
        <v>0.63</v>
      </c>
      <c r="H15" s="23" t="s">
        <v>200</v>
      </c>
      <c r="I15" s="23" t="s">
        <v>182</v>
      </c>
      <c r="J15" s="56">
        <f>'Efficiency Assumptions'!G25</f>
        <v>1.9820447299524313</v>
      </c>
      <c r="K15" s="84"/>
      <c r="L15" s="58">
        <f t="shared" si="76"/>
        <v>0.7714198419428081</v>
      </c>
      <c r="M15" s="47">
        <f t="shared" si="77"/>
        <v>2032</v>
      </c>
      <c r="N15" s="21">
        <f t="shared" si="78"/>
        <v>0.39706528976438071</v>
      </c>
      <c r="O15" s="18">
        <f>EST_FEC!B195*D$5/SUM(D$5:D$8)</f>
        <v>112.0955728600777</v>
      </c>
      <c r="P15" s="18">
        <f t="shared" si="1"/>
        <v>31.032678110707785</v>
      </c>
      <c r="Q15" s="18">
        <f t="shared" si="2"/>
        <v>109.7387085625472</v>
      </c>
      <c r="R15" s="21">
        <f t="shared" si="3"/>
        <v>0.28278698115916179</v>
      </c>
      <c r="S15" s="21">
        <f t="shared" si="79"/>
        <v>0.12120419233628586</v>
      </c>
      <c r="T15" s="18">
        <f>EST_FEC!B195*D$6/SUM(D$5:D$8)</f>
        <v>10046.764010814975</v>
      </c>
      <c r="U15" s="18">
        <f t="shared" si="4"/>
        <v>489.72850091457593</v>
      </c>
      <c r="V15" s="18">
        <f t="shared" si="5"/>
        <v>9365.4083128034999</v>
      </c>
      <c r="W15" s="21">
        <f t="shared" si="6"/>
        <v>5.2291206593210196E-2</v>
      </c>
      <c r="X15" s="21">
        <f t="shared" si="80"/>
        <v>0</v>
      </c>
      <c r="Y15" s="18">
        <f>EST_FEC!$B195*$D$7/SUM($D$5:$D$8)</f>
        <v>18.79965971028982</v>
      </c>
      <c r="Z15" s="18">
        <f t="shared" si="7"/>
        <v>0</v>
      </c>
      <c r="AA15" s="18">
        <f t="shared" si="8"/>
        <v>18.79965971028982</v>
      </c>
      <c r="AB15" s="21">
        <f t="shared" si="9"/>
        <v>0</v>
      </c>
      <c r="AC15" s="21">
        <f t="shared" si="81"/>
        <v>0</v>
      </c>
      <c r="AD15" s="18">
        <f>EST_FEC!$B195*$D$8/SUM($D$5:$D$8)</f>
        <v>61.486623200405603</v>
      </c>
      <c r="AE15" s="18">
        <f t="shared" si="10"/>
        <v>0</v>
      </c>
      <c r="AF15" s="18">
        <f t="shared" si="11"/>
        <v>61.486623200405603</v>
      </c>
      <c r="AG15" s="21">
        <f t="shared" si="12"/>
        <v>0</v>
      </c>
      <c r="AH15" s="21">
        <f t="shared" si="13"/>
        <v>5.4498960166694442E-2</v>
      </c>
      <c r="AI15" s="18">
        <f t="shared" si="14"/>
        <v>683.7125623090069</v>
      </c>
      <c r="AJ15" s="21">
        <f t="shared" si="15"/>
        <v>6.6774374661486419E-2</v>
      </c>
      <c r="AL15" s="21">
        <f t="shared" si="82"/>
        <v>0.31820698179179285</v>
      </c>
      <c r="AM15" s="18">
        <f>EST_FEC!B142*$D$9/SUM($D$9:$D$13)</f>
        <v>10472.763966316517</v>
      </c>
      <c r="AN15" s="18">
        <f t="shared" si="16"/>
        <v>1558.8423916573352</v>
      </c>
      <c r="AO15" s="18">
        <f t="shared" si="17"/>
        <v>9908.8152075772286</v>
      </c>
      <c r="AP15" s="21">
        <f t="shared" si="18"/>
        <v>0.15731874689370481</v>
      </c>
      <c r="AQ15" s="21">
        <f t="shared" si="83"/>
        <v>1</v>
      </c>
      <c r="AR15" s="18">
        <f>EST_FEC!$B142*$D$10/SUM($D$9:$D$13)</f>
        <v>8.9182858490120562</v>
      </c>
      <c r="AS15" s="18">
        <f t="shared" si="19"/>
        <v>8.9182858490120562</v>
      </c>
      <c r="AT15" s="18">
        <f t="shared" si="20"/>
        <v>8.9182858490120562</v>
      </c>
      <c r="AU15" s="21">
        <f t="shared" si="21"/>
        <v>1</v>
      </c>
      <c r="AV15" s="18">
        <f t="shared" si="84"/>
        <v>0.45882349471102135</v>
      </c>
      <c r="AW15" s="18">
        <f>EST_FEC!$B142*$D$11/SUM($D$9:$D$13)</f>
        <v>1775.8074907914902</v>
      </c>
      <c r="AX15" s="18">
        <f t="shared" si="22"/>
        <v>430.64184827283913</v>
      </c>
      <c r="AY15" s="18">
        <f t="shared" si="23"/>
        <v>1700.4833732053432</v>
      </c>
      <c r="AZ15" s="21">
        <f t="shared" si="24"/>
        <v>0.25324672681809079</v>
      </c>
      <c r="BA15" s="18">
        <f t="shared" si="85"/>
        <v>0.60041332258684266</v>
      </c>
      <c r="BB15" s="18">
        <f>EST_FEC!$B142*$D$12/SUM($D$9:$D$13)</f>
        <v>561.17804631936121</v>
      </c>
      <c r="BC15" s="18">
        <f t="shared" si="25"/>
        <v>336.93877535340073</v>
      </c>
      <c r="BD15" s="18">
        <f t="shared" si="26"/>
        <v>561.17804631936121</v>
      </c>
      <c r="BE15" s="21">
        <f t="shared" si="27"/>
        <v>0.60041332258684266</v>
      </c>
      <c r="BF15" s="18">
        <f t="shared" si="86"/>
        <v>0.99999700012133075</v>
      </c>
      <c r="BG15" s="18">
        <f>EST_FEC!$B142*$D$13/SUM($D$9:$D$13)</f>
        <v>2609.8679996938736</v>
      </c>
      <c r="BH15" s="18">
        <f t="shared" si="28"/>
        <v>2609.8601704065318</v>
      </c>
      <c r="BI15" s="18">
        <f t="shared" si="29"/>
        <v>2609.8679996938736</v>
      </c>
      <c r="BJ15" s="21">
        <f t="shared" si="30"/>
        <v>0.99999700012133075</v>
      </c>
      <c r="BK15" s="21">
        <f t="shared" si="31"/>
        <v>0.33437781860723914</v>
      </c>
      <c r="BL15" s="18">
        <f t="shared" si="32"/>
        <v>639.2728763254363</v>
      </c>
      <c r="BM15" s="21">
        <f t="shared" si="33"/>
        <v>4.1434448807672844E-2</v>
      </c>
      <c r="BO15" s="21">
        <f t="shared" si="87"/>
        <v>0.5574785529482249</v>
      </c>
      <c r="BP15" s="18">
        <f>EST_FEC!$B89*$D$14/SUM($D$14:$D$26)</f>
        <v>4.7345898576825078</v>
      </c>
      <c r="BQ15" s="18">
        <f t="shared" si="34"/>
        <v>2.1366832926329127</v>
      </c>
      <c r="BR15" s="18">
        <f t="shared" si="35"/>
        <v>4.6808031808694448</v>
      </c>
      <c r="BS15" s="21">
        <f t="shared" si="36"/>
        <v>0.45647791844049085</v>
      </c>
      <c r="BT15" s="21">
        <f t="shared" si="88"/>
        <v>0.55230498215184498</v>
      </c>
      <c r="BU15" s="18">
        <f>EST_FEC!$B89*$D$15/SUM($D$14:D$26)</f>
        <v>204.94010383968569</v>
      </c>
      <c r="BV15" s="18">
        <f t="shared" si="37"/>
        <v>76.726865967821368</v>
      </c>
      <c r="BW15" s="18">
        <f t="shared" si="38"/>
        <v>199.99880031760219</v>
      </c>
      <c r="BX15" s="21">
        <f t="shared" si="39"/>
        <v>0.38363663104967399</v>
      </c>
      <c r="BY15" s="21">
        <f t="shared" si="89"/>
        <v>0.6074757289733862</v>
      </c>
      <c r="BZ15" s="18">
        <f>EST_FEC!$B89*$D$16/SUM($D$14:D$26)</f>
        <v>4.7345898576825078</v>
      </c>
      <c r="CA15" s="18">
        <f t="shared" si="40"/>
        <v>2.2458494772391124</v>
      </c>
      <c r="CB15" s="18">
        <f t="shared" si="41"/>
        <v>4.5997608443761742</v>
      </c>
      <c r="CC15" s="21">
        <f t="shared" si="42"/>
        <v>0.48825353169936331</v>
      </c>
      <c r="CD15" s="21">
        <f t="shared" si="90"/>
        <v>0.43291632765631771</v>
      </c>
      <c r="CE15" s="18">
        <f>EST_FEC!$B89*$D$17/SUM($D$16:D$26)</f>
        <v>308.86392171527746</v>
      </c>
      <c r="CF15" s="18">
        <f t="shared" si="43"/>
        <v>99.00339936243661</v>
      </c>
      <c r="CG15" s="18">
        <f t="shared" si="44"/>
        <v>304.09428539712695</v>
      </c>
      <c r="CH15" s="21">
        <f t="shared" si="45"/>
        <v>0.32556810212051418</v>
      </c>
      <c r="CI15" s="21">
        <f t="shared" si="91"/>
        <v>0.63601433596679302</v>
      </c>
      <c r="CJ15" s="18">
        <f>EST_FEC!$B89*$D$18/SUM($D$16:D$26)</f>
        <v>68.636427047839433</v>
      </c>
      <c r="CK15" s="18">
        <f t="shared" si="46"/>
        <v>30.629603004432862</v>
      </c>
      <c r="CL15" s="18">
        <f t="shared" si="47"/>
        <v>66.510053046024225</v>
      </c>
      <c r="CM15" s="21">
        <f t="shared" si="48"/>
        <v>0.46052591452960523</v>
      </c>
      <c r="CN15" s="21">
        <f t="shared" si="92"/>
        <v>0.77544272320335106</v>
      </c>
      <c r="CO15" s="18">
        <f>EST_FEC!$B89*$D$19/SUM($D$16:$D$26)</f>
        <v>280.26541044534434</v>
      </c>
      <c r="CP15" s="18">
        <f t="shared" si="49"/>
        <v>171.68756271095612</v>
      </c>
      <c r="CQ15" s="18">
        <f t="shared" si="50"/>
        <v>273.43119067136939</v>
      </c>
      <c r="CR15" s="21">
        <f t="shared" si="51"/>
        <v>0.62790043187612565</v>
      </c>
      <c r="CS15" s="18">
        <f t="shared" si="93"/>
        <v>0.80109846531155549</v>
      </c>
      <c r="CT15" s="18">
        <f>EST_FEC!$B89*$D$20/SUM($D$16:D$26)</f>
        <v>25.738660142939789</v>
      </c>
      <c r="CU15" s="18">
        <f t="shared" si="52"/>
        <v>14.723636961967493</v>
      </c>
      <c r="CV15" s="18">
        <f t="shared" si="53"/>
        <v>24.973187282087626</v>
      </c>
      <c r="CW15" s="21">
        <f t="shared" si="54"/>
        <v>0.58957780581448771</v>
      </c>
      <c r="CX15" s="21">
        <f t="shared" si="94"/>
        <v>0.64567453906178196</v>
      </c>
      <c r="CY15" s="18">
        <f>EST_FEC!$B89*$D$21/SUM($D$14:$D$26)</f>
        <v>536.3613938774613</v>
      </c>
      <c r="CZ15" s="18">
        <f t="shared" si="55"/>
        <v>218.96883825378265</v>
      </c>
      <c r="DA15" s="18">
        <f t="shared" si="56"/>
        <v>519.37651213432935</v>
      </c>
      <c r="DB15" s="21">
        <f t="shared" si="57"/>
        <v>0.42159942380519022</v>
      </c>
      <c r="DC15" s="21">
        <f t="shared" si="95"/>
        <v>0.57931877863478454</v>
      </c>
      <c r="DD15" s="18">
        <f>EST_FEC!$B89*$D$22/SUM($D$14:$D$26)</f>
        <v>629.7004510717735</v>
      </c>
      <c r="DE15" s="18">
        <f t="shared" si="58"/>
        <v>212.21720261344399</v>
      </c>
      <c r="DF15" s="18">
        <f t="shared" si="59"/>
        <v>597.47914855156478</v>
      </c>
      <c r="DG15" s="21">
        <f t="shared" si="60"/>
        <v>0.35518762977404361</v>
      </c>
      <c r="DH15" s="21">
        <f t="shared" si="96"/>
        <v>0.43473533759739075</v>
      </c>
      <c r="DI15" s="18">
        <f>EST_FEC!$B89*$D$23/SUM($D$14:$D$26)</f>
        <v>1392.6457881383262</v>
      </c>
      <c r="DJ15" s="18">
        <f t="shared" si="61"/>
        <v>322.09353171264399</v>
      </c>
      <c r="DK15" s="18">
        <f t="shared" si="62"/>
        <v>1369.0988917543978</v>
      </c>
      <c r="DL15" s="21">
        <f t="shared" si="63"/>
        <v>0.23525950802568049</v>
      </c>
      <c r="DM15" s="21">
        <f t="shared" si="97"/>
        <v>0.32149213064414184</v>
      </c>
      <c r="DN15" s="18">
        <f>EST_FEC!$B89*$D$24/SUM($D$14:$D$26)</f>
        <v>231.9949030264429</v>
      </c>
      <c r="DO15" s="18">
        <f t="shared" si="64"/>
        <v>32.197469962200593</v>
      </c>
      <c r="DP15" s="18">
        <f t="shared" si="65"/>
        <v>222.71887069316648</v>
      </c>
      <c r="DQ15" s="21">
        <f t="shared" si="66"/>
        <v>0.14456552272374865</v>
      </c>
      <c r="DR15" s="21">
        <f t="shared" si="98"/>
        <v>0.71232860898824601</v>
      </c>
      <c r="DS15" s="18">
        <f>EST_FEC!$B89*$D$25/SUM($D$14:$D$26)</f>
        <v>52.080488434507586</v>
      </c>
      <c r="DT15" s="18">
        <f t="shared" si="67"/>
        <v>24.957120175151008</v>
      </c>
      <c r="DU15" s="18">
        <f t="shared" si="68"/>
        <v>50.154232104399881</v>
      </c>
      <c r="DV15" s="21">
        <f t="shared" si="69"/>
        <v>0.4976074625806422</v>
      </c>
      <c r="DW15" s="21">
        <f t="shared" si="99"/>
        <v>0.72609682698844791</v>
      </c>
      <c r="DX15" s="18">
        <f>EST_FEC!$B89*$D$26/SUM($D$14:$D$26)</f>
        <v>180.59078457160422</v>
      </c>
      <c r="DY15" s="18">
        <f t="shared" si="70"/>
        <v>102.99598652698685</v>
      </c>
      <c r="DZ15" s="18">
        <f t="shared" si="71"/>
        <v>179.11327410384885</v>
      </c>
      <c r="EA15" s="21">
        <f t="shared" si="72"/>
        <v>0.57503268276627206</v>
      </c>
      <c r="EB15" s="21">
        <f t="shared" si="73"/>
        <v>0.34342376900327115</v>
      </c>
      <c r="EC15" s="18">
        <f t="shared" si="74"/>
        <v>105.05850194540471</v>
      </c>
      <c r="ED15" s="21">
        <f t="shared" si="75"/>
        <v>2.6791838553839997E-2</v>
      </c>
    </row>
    <row r="16" spans="1:134" ht="19.5" customHeight="1" thickBot="1" x14ac:dyDescent="0.4">
      <c r="A16" s="77"/>
      <c r="B16" s="31" t="s">
        <v>34</v>
      </c>
      <c r="C16" s="34">
        <v>3</v>
      </c>
      <c r="D16" s="34">
        <v>7</v>
      </c>
      <c r="E16" s="21">
        <f t="shared" si="0"/>
        <v>0.42857142857142855</v>
      </c>
      <c r="F16" s="21">
        <f t="shared" si="101"/>
        <v>0.54885024658046377</v>
      </c>
      <c r="G16" s="55">
        <v>0.94</v>
      </c>
      <c r="H16" s="23" t="s">
        <v>200</v>
      </c>
      <c r="I16" s="23" t="s">
        <v>181</v>
      </c>
      <c r="J16" s="56">
        <f>'Efficiency Assumptions'!G26</f>
        <v>1.6220785298610838</v>
      </c>
      <c r="K16" s="84"/>
      <c r="L16" s="58">
        <f t="shared" si="76"/>
        <v>0.96213922988171541</v>
      </c>
      <c r="M16" s="47">
        <f t="shared" si="77"/>
        <v>2033</v>
      </c>
      <c r="N16" s="21">
        <f t="shared" si="78"/>
        <v>0.42390080422693366</v>
      </c>
      <c r="O16" s="18">
        <f>EST_FEC!B196*D$5/SUM(D$5:D$8)</f>
        <v>112.45908730294833</v>
      </c>
      <c r="P16" s="18">
        <f t="shared" si="1"/>
        <v>33.237447698364349</v>
      </c>
      <c r="Q16" s="18">
        <f t="shared" si="2"/>
        <v>108.68429308184572</v>
      </c>
      <c r="R16" s="21">
        <f t="shared" si="3"/>
        <v>0.30581647776219678</v>
      </c>
      <c r="S16" s="21">
        <f t="shared" si="79"/>
        <v>0.15329858933082788</v>
      </c>
      <c r="T16" s="18">
        <f>EST_FEC!B196*D$6/SUM(D$5:D$8)</f>
        <v>10079.344635801861</v>
      </c>
      <c r="U16" s="18">
        <f t="shared" si="4"/>
        <v>621.41536860956057</v>
      </c>
      <c r="V16" s="18">
        <f t="shared" si="5"/>
        <v>9200.6792770241482</v>
      </c>
      <c r="W16" s="21">
        <f t="shared" si="6"/>
        <v>6.7540161970578994E-2</v>
      </c>
      <c r="X16" s="21">
        <f t="shared" si="80"/>
        <v>0</v>
      </c>
      <c r="Y16" s="18">
        <f>EST_FEC!$B196*$D$7/SUM($D$5:$D$8)</f>
        <v>18.86062507806821</v>
      </c>
      <c r="Z16" s="18">
        <f t="shared" si="7"/>
        <v>0</v>
      </c>
      <c r="AA16" s="18">
        <f t="shared" si="8"/>
        <v>18.86062507806821</v>
      </c>
      <c r="AB16" s="21">
        <f t="shared" si="9"/>
        <v>0</v>
      </c>
      <c r="AC16" s="21">
        <f t="shared" si="81"/>
        <v>0</v>
      </c>
      <c r="AD16" s="18">
        <f>EST_FEC!$B196*$D$8/SUM($D$5:$D$8)</f>
        <v>61.686018011515522</v>
      </c>
      <c r="AE16" s="18">
        <f t="shared" si="10"/>
        <v>0</v>
      </c>
      <c r="AF16" s="18">
        <f t="shared" si="11"/>
        <v>61.686018011515522</v>
      </c>
      <c r="AG16" s="21">
        <f t="shared" si="12"/>
        <v>0</v>
      </c>
      <c r="AH16" s="21">
        <f t="shared" si="13"/>
        <v>6.9718751451738656E-2</v>
      </c>
      <c r="AI16" s="18">
        <f t="shared" si="14"/>
        <v>882.44015299881539</v>
      </c>
      <c r="AJ16" s="21">
        <f t="shared" si="15"/>
        <v>8.5904405665802236E-2</v>
      </c>
      <c r="AL16" s="21">
        <f t="shared" si="82"/>
        <v>0.34015907909759152</v>
      </c>
      <c r="AM16" s="18">
        <f>EST_FEC!B143*$D$9/SUM($D$9:$D$13)</f>
        <v>10493.26392644824</v>
      </c>
      <c r="AN16" s="18">
        <f t="shared" si="16"/>
        <v>1669.643884992757</v>
      </c>
      <c r="AO16" s="18">
        <f t="shared" si="17"/>
        <v>9766.5860684514155</v>
      </c>
      <c r="AP16" s="21">
        <f t="shared" si="18"/>
        <v>0.17095470958743056</v>
      </c>
      <c r="AQ16" s="21">
        <f t="shared" si="83"/>
        <v>1</v>
      </c>
      <c r="AR16" s="18">
        <f>EST_FEC!$B143*$D$10/SUM($D$9:$D$13)</f>
        <v>8.9357429887829962</v>
      </c>
      <c r="AS16" s="18">
        <f t="shared" si="19"/>
        <v>8.9357429887829962</v>
      </c>
      <c r="AT16" s="18">
        <f t="shared" si="20"/>
        <v>8.9357429887829962</v>
      </c>
      <c r="AU16" s="21">
        <f t="shared" si="21"/>
        <v>1</v>
      </c>
      <c r="AV16" s="18">
        <f t="shared" si="84"/>
        <v>0.47412705038078551</v>
      </c>
      <c r="AW16" s="18">
        <f>EST_FEC!$B143*$D$11/SUM($D$9:$D$13)</f>
        <v>1779.2835533552914</v>
      </c>
      <c r="AX16" s="18">
        <f t="shared" si="22"/>
        <v>445.87651390226131</v>
      </c>
      <c r="AY16" s="18">
        <f t="shared" si="23"/>
        <v>1682.2244365919787</v>
      </c>
      <c r="AZ16" s="21">
        <f t="shared" si="24"/>
        <v>0.26505173994830517</v>
      </c>
      <c r="BA16" s="18">
        <f t="shared" si="85"/>
        <v>0.61930632886919923</v>
      </c>
      <c r="BB16" s="18">
        <f>EST_FEC!$B143*$D$12/SUM($D$9:$D$13)</f>
        <v>562.27652687457532</v>
      </c>
      <c r="BC16" s="18">
        <f t="shared" si="25"/>
        <v>348.22141166801691</v>
      </c>
      <c r="BD16" s="18">
        <f t="shared" si="26"/>
        <v>562.27652687457532</v>
      </c>
      <c r="BE16" s="21">
        <f t="shared" si="27"/>
        <v>0.61930632886919923</v>
      </c>
      <c r="BF16" s="18">
        <f t="shared" si="86"/>
        <v>0.99999714195970968</v>
      </c>
      <c r="BG16" s="18">
        <f>EST_FEC!$B143*$D$13/SUM($D$9:$D$13)</f>
        <v>2614.9766978479488</v>
      </c>
      <c r="BH16" s="18">
        <f t="shared" si="28"/>
        <v>2614.9692241391881</v>
      </c>
      <c r="BI16" s="18">
        <f t="shared" si="29"/>
        <v>2614.9766978479488</v>
      </c>
      <c r="BJ16" s="21">
        <f t="shared" si="30"/>
        <v>0.99999714195970968</v>
      </c>
      <c r="BK16" s="21">
        <f t="shared" si="31"/>
        <v>0.34763559692382923</v>
      </c>
      <c r="BL16" s="18">
        <f t="shared" si="32"/>
        <v>823.73697476013695</v>
      </c>
      <c r="BM16" s="21">
        <f t="shared" si="33"/>
        <v>5.3286177531835836E-2</v>
      </c>
      <c r="BO16" s="21">
        <f t="shared" si="87"/>
        <v>0.56550665444296888</v>
      </c>
      <c r="BP16" s="18">
        <f>EST_FEC!$B90*$D$14/SUM($D$14:$D$26)</f>
        <v>4.7246791747200598</v>
      </c>
      <c r="BQ16" s="18">
        <f t="shared" si="34"/>
        <v>2.1629160822861544</v>
      </c>
      <c r="BR16" s="18">
        <f t="shared" si="35"/>
        <v>4.6556523853027096</v>
      </c>
      <c r="BS16" s="21">
        <f t="shared" si="36"/>
        <v>0.4645785173124608</v>
      </c>
      <c r="BT16" s="21">
        <f t="shared" si="88"/>
        <v>0.56266503331618345</v>
      </c>
      <c r="BU16" s="18">
        <f>EST_FEC!$B90*$D$15/SUM($D$14:D$26)</f>
        <v>204.51111284859689</v>
      </c>
      <c r="BV16" s="18">
        <f t="shared" si="37"/>
        <v>78.002475388345118</v>
      </c>
      <c r="BW16" s="18">
        <f t="shared" si="38"/>
        <v>198.1697224174402</v>
      </c>
      <c r="BX16" s="21">
        <f t="shared" si="39"/>
        <v>0.39361449588163933</v>
      </c>
      <c r="BY16" s="21">
        <f t="shared" si="89"/>
        <v>0.62424470584259106</v>
      </c>
      <c r="BZ16" s="18">
        <f>EST_FEC!$B90*$D$16/SUM($D$14:D$26)</f>
        <v>4.7246791747200598</v>
      </c>
      <c r="CA16" s="18">
        <f t="shared" si="40"/>
        <v>2.3030138106231792</v>
      </c>
      <c r="CB16" s="18">
        <f t="shared" si="41"/>
        <v>4.5516472184757344</v>
      </c>
      <c r="CC16" s="21">
        <f t="shared" si="42"/>
        <v>0.50597370579928591</v>
      </c>
      <c r="CD16" s="21">
        <f t="shared" si="90"/>
        <v>0.4431764699072645</v>
      </c>
      <c r="CE16" s="18">
        <f>EST_FEC!$B90*$D$17/SUM($D$16:D$26)</f>
        <v>308.2173921322152</v>
      </c>
      <c r="CF16" s="18">
        <f t="shared" si="43"/>
        <v>101.13763521220042</v>
      </c>
      <c r="CG16" s="18">
        <f t="shared" si="44"/>
        <v>302.09630971482432</v>
      </c>
      <c r="CH16" s="21">
        <f t="shared" si="45"/>
        <v>0.33478606642919029</v>
      </c>
      <c r="CI16" s="21">
        <f t="shared" si="91"/>
        <v>0.64807788829009827</v>
      </c>
      <c r="CJ16" s="18">
        <f>EST_FEC!$B90*$D$18/SUM($D$16:D$26)</f>
        <v>68.492753807158934</v>
      </c>
      <c r="CK16" s="18">
        <f t="shared" si="46"/>
        <v>31.145236072298736</v>
      </c>
      <c r="CL16" s="18">
        <f t="shared" si="47"/>
        <v>65.763885263077739</v>
      </c>
      <c r="CM16" s="21">
        <f t="shared" si="48"/>
        <v>0.47359178898429249</v>
      </c>
      <c r="CN16" s="21">
        <f t="shared" si="92"/>
        <v>0.78388037030828217</v>
      </c>
      <c r="CO16" s="18">
        <f>EST_FEC!$B90*$D$19/SUM($D$16:$D$26)</f>
        <v>279.67874471256562</v>
      </c>
      <c r="CP16" s="18">
        <f t="shared" si="49"/>
        <v>173.19241163664304</v>
      </c>
      <c r="CQ16" s="18">
        <f t="shared" si="50"/>
        <v>270.90809225508758</v>
      </c>
      <c r="CR16" s="21">
        <f t="shared" si="51"/>
        <v>0.63930320499088211</v>
      </c>
      <c r="CS16" s="18">
        <f t="shared" si="93"/>
        <v>0.80770307568038346</v>
      </c>
      <c r="CT16" s="18">
        <f>EST_FEC!$B90*$D$20/SUM($D$16:D$26)</f>
        <v>25.684782677684598</v>
      </c>
      <c r="CU16" s="18">
        <f t="shared" si="52"/>
        <v>14.813950785287375</v>
      </c>
      <c r="CV16" s="18">
        <f t="shared" si="53"/>
        <v>24.702417952784781</v>
      </c>
      <c r="CW16" s="21">
        <f t="shared" si="54"/>
        <v>0.59969638654815782</v>
      </c>
      <c r="CX16" s="21">
        <f t="shared" si="94"/>
        <v>0.65522496523500551</v>
      </c>
      <c r="CY16" s="18">
        <f>EST_FEC!$B90*$D$21/SUM($D$14:$D$26)</f>
        <v>535.23865507900109</v>
      </c>
      <c r="CZ16" s="18">
        <f t="shared" si="55"/>
        <v>221.74255612120803</v>
      </c>
      <c r="DA16" s="18">
        <f t="shared" si="56"/>
        <v>513.44121517698716</v>
      </c>
      <c r="DB16" s="21">
        <f t="shared" si="57"/>
        <v>0.43187525575789948</v>
      </c>
      <c r="DC16" s="21">
        <f t="shared" si="95"/>
        <v>0.59609171080459011</v>
      </c>
      <c r="DD16" s="18">
        <f>EST_FEC!$B90*$D$22/SUM($D$14:$D$26)</f>
        <v>628.38233023776797</v>
      </c>
      <c r="DE16" s="18">
        <f t="shared" si="58"/>
        <v>217.90441102413382</v>
      </c>
      <c r="DF16" s="18">
        <f t="shared" si="59"/>
        <v>587.03132668822241</v>
      </c>
      <c r="DG16" s="21">
        <f t="shared" si="60"/>
        <v>0.37119724470831317</v>
      </c>
      <c r="DH16" s="21">
        <f t="shared" si="96"/>
        <v>0.44079579621439108</v>
      </c>
      <c r="DI16" s="18">
        <f>EST_FEC!$B90*$D$23/SUM($D$14:$D$26)</f>
        <v>1389.7306315355147</v>
      </c>
      <c r="DJ16" s="18">
        <f t="shared" si="61"/>
        <v>325.90007777716988</v>
      </c>
      <c r="DK16" s="18">
        <f t="shared" si="62"/>
        <v>1359.5118719015143</v>
      </c>
      <c r="DL16" s="21">
        <f t="shared" si="63"/>
        <v>0.23971844932942132</v>
      </c>
      <c r="DM16" s="21">
        <f t="shared" si="97"/>
        <v>0.33617995461651262</v>
      </c>
      <c r="DN16" s="18">
        <f>EST_FEC!$B90*$D$24/SUM($D$14:$D$26)</f>
        <v>231.50927956128294</v>
      </c>
      <c r="DO16" s="18">
        <f t="shared" si="64"/>
        <v>33.597980527044761</v>
      </c>
      <c r="DP16" s="18">
        <f t="shared" si="65"/>
        <v>219.60494249426216</v>
      </c>
      <c r="DQ16" s="21">
        <f t="shared" si="66"/>
        <v>0.15299282495849387</v>
      </c>
      <c r="DR16" s="21">
        <f t="shared" si="98"/>
        <v>0.72281265390897831</v>
      </c>
      <c r="DS16" s="18">
        <f>EST_FEC!$B90*$D$25/SUM($D$14:$D$26)</f>
        <v>51.971470921920663</v>
      </c>
      <c r="DT16" s="18">
        <f t="shared" si="67"/>
        <v>25.271428409294376</v>
      </c>
      <c r="DU16" s="18">
        <f t="shared" si="68"/>
        <v>49.499422118379556</v>
      </c>
      <c r="DV16" s="21">
        <f t="shared" si="69"/>
        <v>0.51053986749293545</v>
      </c>
      <c r="DW16" s="21">
        <f t="shared" si="99"/>
        <v>0.72920319666177891</v>
      </c>
      <c r="DX16" s="18">
        <f>EST_FEC!$B90*$D$26/SUM($D$14:$D$26)</f>
        <v>180.21276280717942</v>
      </c>
      <c r="DY16" s="18">
        <f t="shared" si="70"/>
        <v>103.22010266788136</v>
      </c>
      <c r="DZ16" s="18">
        <f t="shared" si="71"/>
        <v>178.31660915050077</v>
      </c>
      <c r="EA16" s="21">
        <f t="shared" si="72"/>
        <v>0.57885859965384767</v>
      </c>
      <c r="EB16" s="21">
        <f t="shared" si="73"/>
        <v>0.35211886422465716</v>
      </c>
      <c r="EC16" s="18">
        <f t="shared" si="74"/>
        <v>134.82615993346781</v>
      </c>
      <c r="ED16" s="21">
        <f t="shared" si="75"/>
        <v>3.4455259009498793E-2</v>
      </c>
    </row>
    <row r="17" spans="1:134" ht="19.5" customHeight="1" thickBot="1" x14ac:dyDescent="0.4">
      <c r="A17" s="77"/>
      <c r="B17" s="31" t="s">
        <v>164</v>
      </c>
      <c r="C17" s="34">
        <v>127</v>
      </c>
      <c r="D17" s="34">
        <v>432</v>
      </c>
      <c r="E17" s="21">
        <f t="shared" si="0"/>
        <v>0.29398148148148145</v>
      </c>
      <c r="F17" s="21">
        <f t="shared" si="101"/>
        <v>0.39704617328891617</v>
      </c>
      <c r="G17" s="55">
        <v>0.54</v>
      </c>
      <c r="H17" s="23" t="s">
        <v>200</v>
      </c>
      <c r="I17" s="23" t="s">
        <v>182</v>
      </c>
      <c r="J17" s="56">
        <f>'Efficiency Assumptions'!G27</f>
        <v>1.5814413031572601</v>
      </c>
      <c r="K17" s="84"/>
      <c r="L17" s="58">
        <f t="shared" si="76"/>
        <v>0.64991811607316918</v>
      </c>
      <c r="M17" s="47">
        <f t="shared" si="77"/>
        <v>2034</v>
      </c>
      <c r="N17" s="21">
        <f t="shared" si="78"/>
        <v>0.45588820612408104</v>
      </c>
      <c r="O17" s="18">
        <f>EST_FEC!B197*D$5/SUM(D$5:D$8)</f>
        <v>112.84146280770977</v>
      </c>
      <c r="P17" s="18">
        <f t="shared" si="1"/>
        <v>35.867072978813034</v>
      </c>
      <c r="Q17" s="18">
        <f t="shared" si="2"/>
        <v>107.36708405507287</v>
      </c>
      <c r="R17" s="21">
        <f t="shared" si="3"/>
        <v>0.33406023172255828</v>
      </c>
      <c r="S17" s="21">
        <f t="shared" si="79"/>
        <v>0.19209689625227708</v>
      </c>
      <c r="T17" s="18">
        <f>EST_FEC!B197*D$6/SUM(D$5:D$8)</f>
        <v>10113.615716825283</v>
      </c>
      <c r="U17" s="18">
        <f t="shared" si="4"/>
        <v>781.33689486844378</v>
      </c>
      <c r="V17" s="18">
        <f t="shared" si="5"/>
        <v>8995.3080534971505</v>
      </c>
      <c r="W17" s="21">
        <f t="shared" si="6"/>
        <v>8.6860493295132846E-2</v>
      </c>
      <c r="X17" s="21">
        <f t="shared" si="80"/>
        <v>0</v>
      </c>
      <c r="Y17" s="18">
        <f>EST_FEC!$B197*$D$7/SUM($D$5:$D$8)</f>
        <v>18.924753653244309</v>
      </c>
      <c r="Z17" s="18">
        <f t="shared" si="7"/>
        <v>0</v>
      </c>
      <c r="AA17" s="18">
        <f t="shared" si="8"/>
        <v>18.924753653244309</v>
      </c>
      <c r="AB17" s="21">
        <f t="shared" si="9"/>
        <v>0</v>
      </c>
      <c r="AC17" s="21">
        <f t="shared" si="81"/>
        <v>0</v>
      </c>
      <c r="AD17" s="18">
        <f>EST_FEC!$B197*$D$8/SUM($D$5:$D$8)</f>
        <v>61.895758485491946</v>
      </c>
      <c r="AE17" s="18">
        <f t="shared" si="10"/>
        <v>0</v>
      </c>
      <c r="AF17" s="18">
        <f t="shared" si="11"/>
        <v>61.895758485491946</v>
      </c>
      <c r="AG17" s="21">
        <f t="shared" si="12"/>
        <v>0</v>
      </c>
      <c r="AH17" s="21">
        <f t="shared" si="13"/>
        <v>8.8986155056844513E-2</v>
      </c>
      <c r="AI17" s="18">
        <f t="shared" si="14"/>
        <v>1123.7820420807693</v>
      </c>
      <c r="AJ17" s="21">
        <f t="shared" si="15"/>
        <v>0.10902801648372018</v>
      </c>
      <c r="AL17" s="21">
        <f t="shared" si="82"/>
        <v>0.3666965525695105</v>
      </c>
      <c r="AM17" s="18">
        <f>EST_FEC!B144*$D$9/SUM($D$9:$D$13)</f>
        <v>10515.451782319122</v>
      </c>
      <c r="AN17" s="18">
        <f t="shared" si="16"/>
        <v>1803.7068354099158</v>
      </c>
      <c r="AO17" s="18">
        <f t="shared" si="17"/>
        <v>9591.4386058259115</v>
      </c>
      <c r="AP17" s="21">
        <f t="shared" si="18"/>
        <v>0.18805383733721975</v>
      </c>
      <c r="AQ17" s="21">
        <f t="shared" si="83"/>
        <v>1</v>
      </c>
      <c r="AR17" s="18">
        <f>EST_FEC!$B144*$D$10/SUM($D$9:$D$13)</f>
        <v>8.9546374889999054</v>
      </c>
      <c r="AS17" s="18">
        <f t="shared" si="19"/>
        <v>8.9546374889999054</v>
      </c>
      <c r="AT17" s="18">
        <f t="shared" si="20"/>
        <v>8.9546374889999054</v>
      </c>
      <c r="AU17" s="21">
        <f t="shared" si="21"/>
        <v>1</v>
      </c>
      <c r="AV17" s="18">
        <f t="shared" si="84"/>
        <v>0.49262722815218801</v>
      </c>
      <c r="AW17" s="18">
        <f>EST_FEC!$B144*$D$11/SUM($D$9:$D$13)</f>
        <v>1783.0458228752425</v>
      </c>
      <c r="AX17" s="18">
        <f t="shared" si="22"/>
        <v>464.25395822088007</v>
      </c>
      <c r="AY17" s="18">
        <f t="shared" si="23"/>
        <v>1659.6295087531655</v>
      </c>
      <c r="AZ17" s="21">
        <f t="shared" si="24"/>
        <v>0.27973349218745902</v>
      </c>
      <c r="BA17" s="18">
        <f t="shared" si="85"/>
        <v>0.64214572530766156</v>
      </c>
      <c r="BB17" s="18">
        <f>EST_FEC!$B144*$D$12/SUM($D$9:$D$13)</f>
        <v>563.46545251537884</v>
      </c>
      <c r="BC17" s="18">
        <f t="shared" si="25"/>
        <v>361.82693169129766</v>
      </c>
      <c r="BD17" s="18">
        <f t="shared" si="26"/>
        <v>563.46545251537884</v>
      </c>
      <c r="BE17" s="21">
        <f t="shared" si="27"/>
        <v>0.64214572530766156</v>
      </c>
      <c r="BF17" s="18">
        <f t="shared" si="86"/>
        <v>0.99999731342543174</v>
      </c>
      <c r="BG17" s="18">
        <f>EST_FEC!$B144*$D$13/SUM($D$9:$D$13)</f>
        <v>2620.506028519917</v>
      </c>
      <c r="BH17" s="18">
        <f t="shared" si="28"/>
        <v>2620.498988335065</v>
      </c>
      <c r="BI17" s="18">
        <f t="shared" si="29"/>
        <v>2620.506028519917</v>
      </c>
      <c r="BJ17" s="21">
        <f t="shared" si="30"/>
        <v>0.99999731342543186</v>
      </c>
      <c r="BK17" s="21">
        <f t="shared" si="31"/>
        <v>0.36411267314776413</v>
      </c>
      <c r="BL17" s="18">
        <f t="shared" si="32"/>
        <v>1047.42949061529</v>
      </c>
      <c r="BM17" s="21">
        <f t="shared" si="33"/>
        <v>6.761350727316226E-2</v>
      </c>
      <c r="BO17" s="21">
        <f t="shared" si="87"/>
        <v>0.57521167385313554</v>
      </c>
      <c r="BP17" s="18">
        <f>EST_FEC!$B91*$D$14/SUM($D$14:$D$26)</f>
        <v>4.7155281590846521</v>
      </c>
      <c r="BQ17" s="18">
        <f t="shared" si="34"/>
        <v>2.1957741130146435</v>
      </c>
      <c r="BR17" s="18">
        <f t="shared" si="35"/>
        <v>4.6281114223811839</v>
      </c>
      <c r="BS17" s="21">
        <f t="shared" si="36"/>
        <v>0.47444279374866649</v>
      </c>
      <c r="BT17" s="21">
        <f t="shared" si="88"/>
        <v>0.57518910238856014</v>
      </c>
      <c r="BU17" s="18">
        <f>EST_FEC!$B91*$D$15/SUM($D$14:D$26)</f>
        <v>204.11500460037851</v>
      </c>
      <c r="BV17" s="18">
        <f t="shared" si="37"/>
        <v>79.584249784942244</v>
      </c>
      <c r="BW17" s="18">
        <f t="shared" si="38"/>
        <v>196.08415654365317</v>
      </c>
      <c r="BX17" s="21">
        <f t="shared" si="39"/>
        <v>0.40586782322326398</v>
      </c>
      <c r="BY17" s="21">
        <f t="shared" si="89"/>
        <v>0.64451640346759187</v>
      </c>
      <c r="BZ17" s="18">
        <f>EST_FEC!$B91*$D$16/SUM($D$14:D$26)</f>
        <v>4.7155281590846521</v>
      </c>
      <c r="CA17" s="18">
        <f t="shared" si="40"/>
        <v>2.3731963332014252</v>
      </c>
      <c r="CB17" s="18">
        <f t="shared" si="41"/>
        <v>4.4963974550786761</v>
      </c>
      <c r="CC17" s="21">
        <f t="shared" si="42"/>
        <v>0.52779950102518236</v>
      </c>
      <c r="CD17" s="21">
        <f t="shared" si="90"/>
        <v>0.45557976099192515</v>
      </c>
      <c r="CE17" s="18">
        <f>EST_FEC!$B91*$D$17/SUM($D$16:D$26)</f>
        <v>307.62041992093828</v>
      </c>
      <c r="CF17" s="18">
        <f t="shared" si="43"/>
        <v>103.76682832623855</v>
      </c>
      <c r="CG17" s="18">
        <f t="shared" si="44"/>
        <v>299.8685737965871</v>
      </c>
      <c r="CH17" s="21">
        <f t="shared" si="45"/>
        <v>0.34604102394747027</v>
      </c>
      <c r="CI17" s="21">
        <f t="shared" si="91"/>
        <v>0.66266128755702181</v>
      </c>
      <c r="CJ17" s="18">
        <f>EST_FEC!$B91*$D$18/SUM($D$16:D$26)</f>
        <v>68.360093315764061</v>
      </c>
      <c r="CK17" s="18">
        <f t="shared" si="46"/>
        <v>31.78440179872306</v>
      </c>
      <c r="CL17" s="18">
        <f t="shared" si="47"/>
        <v>64.90420633289996</v>
      </c>
      <c r="CM17" s="21">
        <f t="shared" si="48"/>
        <v>0.48971251009060623</v>
      </c>
      <c r="CN17" s="21">
        <f t="shared" si="92"/>
        <v>0.79408048162764</v>
      </c>
      <c r="CO17" s="18">
        <f>EST_FEC!$B91*$D$19/SUM($D$16:$D$26)</f>
        <v>279.13704770603658</v>
      </c>
      <c r="CP17" s="18">
        <f t="shared" si="49"/>
        <v>175.10623527785717</v>
      </c>
      <c r="CQ17" s="18">
        <f t="shared" si="50"/>
        <v>268.02973961500919</v>
      </c>
      <c r="CR17" s="21">
        <f t="shared" si="51"/>
        <v>0.65330897806107302</v>
      </c>
      <c r="CS17" s="18">
        <f t="shared" si="93"/>
        <v>0.81568726370641009</v>
      </c>
      <c r="CT17" s="18">
        <f>EST_FEC!$B91*$D$20/SUM($D$16:D$26)</f>
        <v>25.635034993411523</v>
      </c>
      <c r="CU17" s="18">
        <f t="shared" si="52"/>
        <v>14.931411387435064</v>
      </c>
      <c r="CV17" s="18">
        <f t="shared" si="53"/>
        <v>24.390951077178315</v>
      </c>
      <c r="CW17" s="21">
        <f t="shared" si="54"/>
        <v>0.61217011752386397</v>
      </c>
      <c r="CX17" s="21">
        <f t="shared" si="94"/>
        <v>0.66677029403374821</v>
      </c>
      <c r="CY17" s="18">
        <f>EST_FEC!$B91*$D$21/SUM($D$14:$D$26)</f>
        <v>534.20197573630412</v>
      </c>
      <c r="CZ17" s="18">
        <f t="shared" si="55"/>
        <v>225.21269890209521</v>
      </c>
      <c r="DA17" s="18">
        <f t="shared" si="56"/>
        <v>506.5973155629444</v>
      </c>
      <c r="DB17" s="21">
        <f t="shared" si="57"/>
        <v>0.44455959789647304</v>
      </c>
      <c r="DC17" s="21">
        <f t="shared" si="95"/>
        <v>0.61636818991735953</v>
      </c>
      <c r="DD17" s="18">
        <f>EST_FEC!$B91*$D$22/SUM($D$14:$D$26)</f>
        <v>627.1652451582587</v>
      </c>
      <c r="DE17" s="18">
        <f t="shared" si="58"/>
        <v>224.88017752655966</v>
      </c>
      <c r="DF17" s="18">
        <f t="shared" si="59"/>
        <v>574.79760905310604</v>
      </c>
      <c r="DG17" s="21">
        <f t="shared" si="60"/>
        <v>0.39123366900745543</v>
      </c>
      <c r="DH17" s="21">
        <f t="shared" si="96"/>
        <v>0.44812216952332434</v>
      </c>
      <c r="DI17" s="18">
        <f>EST_FEC!$B91*$D$23/SUM($D$14:$D$26)</f>
        <v>1387.0389256507569</v>
      </c>
      <c r="DJ17" s="18">
        <f t="shared" si="61"/>
        <v>330.67508136360402</v>
      </c>
      <c r="DK17" s="18">
        <f t="shared" si="62"/>
        <v>1348.7693584764966</v>
      </c>
      <c r="DL17" s="21">
        <f t="shared" si="63"/>
        <v>0.24516799650395255</v>
      </c>
      <c r="DM17" s="21">
        <f t="shared" si="97"/>
        <v>0.35393578603422615</v>
      </c>
      <c r="DN17" s="18">
        <f>EST_FEC!$B91*$D$24/SUM($D$14:$D$26)</f>
        <v>231.06087979514797</v>
      </c>
      <c r="DO17" s="18">
        <f t="shared" si="64"/>
        <v>35.303995156186772</v>
      </c>
      <c r="DP17" s="18">
        <f t="shared" si="65"/>
        <v>215.98501855632983</v>
      </c>
      <c r="DQ17" s="21">
        <f t="shared" si="66"/>
        <v>0.16345575907145307</v>
      </c>
      <c r="DR17" s="21">
        <f t="shared" si="98"/>
        <v>0.7354866166783055</v>
      </c>
      <c r="DS17" s="18">
        <f>EST_FEC!$B91*$D$25/SUM($D$14:$D$26)</f>
        <v>51.870809749931169</v>
      </c>
      <c r="DT17" s="18">
        <f t="shared" si="67"/>
        <v>25.664738101665723</v>
      </c>
      <c r="DU17" s="18">
        <f t="shared" si="68"/>
        <v>48.740163790567472</v>
      </c>
      <c r="DV17" s="21">
        <f t="shared" si="69"/>
        <v>0.52656240984222002</v>
      </c>
      <c r="DW17" s="21">
        <f t="shared" si="99"/>
        <v>0.73295842795706923</v>
      </c>
      <c r="DX17" s="18">
        <f>EST_FEC!$B91*$D$26/SUM($D$14:$D$26)</f>
        <v>179.86371692508601</v>
      </c>
      <c r="DY17" s="18">
        <f t="shared" si="70"/>
        <v>103.5507109524895</v>
      </c>
      <c r="DZ17" s="18">
        <f t="shared" si="71"/>
        <v>177.46239467970378</v>
      </c>
      <c r="EA17" s="21">
        <f t="shared" si="72"/>
        <v>0.58350790960183352</v>
      </c>
      <c r="EB17" s="21">
        <f t="shared" si="73"/>
        <v>0.36281626590237592</v>
      </c>
      <c r="EC17" s="18">
        <f t="shared" si="74"/>
        <v>170.74621350824782</v>
      </c>
      <c r="ED17" s="21">
        <f t="shared" si="75"/>
        <v>4.3719422438316377E-2</v>
      </c>
    </row>
    <row r="18" spans="1:134" ht="19.5" customHeight="1" thickBot="1" x14ac:dyDescent="0.4">
      <c r="A18" s="77"/>
      <c r="B18" s="31" t="s">
        <v>36</v>
      </c>
      <c r="C18" s="34">
        <v>40</v>
      </c>
      <c r="D18" s="34">
        <v>96</v>
      </c>
      <c r="E18" s="21">
        <f t="shared" si="0"/>
        <v>0.41666666666666669</v>
      </c>
      <c r="F18" s="21">
        <f t="shared" si="101"/>
        <v>0.59383933746555373</v>
      </c>
      <c r="G18" s="49">
        <f>80%</f>
        <v>0.8</v>
      </c>
      <c r="H18" s="23" t="s">
        <v>200</v>
      </c>
      <c r="I18" s="23" t="s">
        <v>181</v>
      </c>
      <c r="J18" s="56">
        <f>'Efficiency Assumptions'!G28</f>
        <v>2.0469118482917255</v>
      </c>
      <c r="K18" s="84"/>
      <c r="L18" s="58">
        <f t="shared" si="76"/>
        <v>0.89115820871143503</v>
      </c>
      <c r="M18" s="47">
        <f t="shared" si="77"/>
        <v>2035</v>
      </c>
      <c r="N18" s="21">
        <f t="shared" si="78"/>
        <v>0.49281656170300825</v>
      </c>
      <c r="O18" s="18">
        <f>EST_FEC!B198*D$5/SUM(D$5:D$8)</f>
        <v>113.24534607672445</v>
      </c>
      <c r="P18" s="18">
        <f t="shared" si="1"/>
        <v>38.911191505850312</v>
      </c>
      <c r="Q18" s="18">
        <f t="shared" si="2"/>
        <v>105.79710902257925</v>
      </c>
      <c r="R18" s="21">
        <f t="shared" si="3"/>
        <v>0.36779068790571462</v>
      </c>
      <c r="S18" s="21">
        <f t="shared" si="79"/>
        <v>0.23763894342362191</v>
      </c>
      <c r="T18" s="18">
        <f>EST_FEC!B198*D$6/SUM(D$5:D$8)</f>
        <v>10149.814469266397</v>
      </c>
      <c r="U18" s="18">
        <f t="shared" si="4"/>
        <v>970.03466174231107</v>
      </c>
      <c r="V18" s="18">
        <f t="shared" si="5"/>
        <v>8748.7209370582514</v>
      </c>
      <c r="W18" s="21">
        <f t="shared" si="6"/>
        <v>0.11087731209180439</v>
      </c>
      <c r="X18" s="21">
        <f t="shared" si="80"/>
        <v>0</v>
      </c>
      <c r="Y18" s="18">
        <f>EST_FEC!$B198*$D$7/SUM($D$5:$D$8)</f>
        <v>18.992489316896549</v>
      </c>
      <c r="Z18" s="18">
        <f t="shared" si="7"/>
        <v>0</v>
      </c>
      <c r="AA18" s="18">
        <f t="shared" si="8"/>
        <v>18.992489316896549</v>
      </c>
      <c r="AB18" s="21">
        <f t="shared" si="9"/>
        <v>0</v>
      </c>
      <c r="AC18" s="21">
        <f t="shared" si="81"/>
        <v>0</v>
      </c>
      <c r="AD18" s="18">
        <f>EST_FEC!$B198*$D$8/SUM($D$5:$D$8)</f>
        <v>62.117296390560249</v>
      </c>
      <c r="AE18" s="18">
        <f t="shared" si="10"/>
        <v>0</v>
      </c>
      <c r="AF18" s="18">
        <f t="shared" si="11"/>
        <v>62.117296390560249</v>
      </c>
      <c r="AG18" s="21">
        <f t="shared" si="12"/>
        <v>0</v>
      </c>
      <c r="AH18" s="21">
        <f t="shared" si="13"/>
        <v>0.11291269872038087</v>
      </c>
      <c r="AI18" s="18">
        <f t="shared" si="14"/>
        <v>1408.5417692622905</v>
      </c>
      <c r="AJ18" s="21">
        <f t="shared" si="15"/>
        <v>0.13616769867338943</v>
      </c>
      <c r="AL18" s="21">
        <f t="shared" si="82"/>
        <v>0.39784664556489069</v>
      </c>
      <c r="AM18" s="18">
        <f>EST_FEC!B145*$D$9/SUM($D$9:$D$13)</f>
        <v>10539.567247344892</v>
      </c>
      <c r="AN18" s="18">
        <f t="shared" si="16"/>
        <v>1961.4157919842096</v>
      </c>
      <c r="AO18" s="18">
        <f t="shared" si="17"/>
        <v>9383.076322188741</v>
      </c>
      <c r="AP18" s="21">
        <f t="shared" si="18"/>
        <v>0.20903760394082357</v>
      </c>
      <c r="AQ18" s="21">
        <f t="shared" si="83"/>
        <v>1</v>
      </c>
      <c r="AR18" s="18">
        <f>EST_FEC!$B145*$D$10/SUM($D$9:$D$13)</f>
        <v>8.9751734822843332</v>
      </c>
      <c r="AS18" s="18">
        <f t="shared" si="19"/>
        <v>8.9751734822843332</v>
      </c>
      <c r="AT18" s="18">
        <f t="shared" si="20"/>
        <v>8.9751734822843332</v>
      </c>
      <c r="AU18" s="21">
        <f t="shared" si="21"/>
        <v>1</v>
      </c>
      <c r="AV18" s="18">
        <f t="shared" si="84"/>
        <v>0.51434302029871837</v>
      </c>
      <c r="AW18" s="18">
        <f>EST_FEC!$B145*$D$11/SUM($D$9:$D$13)</f>
        <v>1787.1349462026101</v>
      </c>
      <c r="AX18" s="18">
        <f t="shared" si="22"/>
        <v>485.83063507802956</v>
      </c>
      <c r="AY18" s="18">
        <f t="shared" si="23"/>
        <v>1632.6676172408229</v>
      </c>
      <c r="AZ18" s="21">
        <f t="shared" si="24"/>
        <v>0.29756861099448645</v>
      </c>
      <c r="BA18" s="18">
        <f t="shared" si="85"/>
        <v>0.66895495881548916</v>
      </c>
      <c r="BB18" s="18">
        <f>EST_FEC!$B145*$D$12/SUM($D$9:$D$13)</f>
        <v>564.75766817045997</v>
      </c>
      <c r="BC18" s="18">
        <f t="shared" si="25"/>
        <v>377.79744265170172</v>
      </c>
      <c r="BD18" s="18">
        <f t="shared" si="26"/>
        <v>564.75766817045997</v>
      </c>
      <c r="BE18" s="21">
        <f t="shared" si="27"/>
        <v>0.66895495881548916</v>
      </c>
      <c r="BF18" s="18">
        <f t="shared" si="86"/>
        <v>0.9999975146945238</v>
      </c>
      <c r="BG18" s="18">
        <f>EST_FEC!$B145*$D$13/SUM($D$9:$D$13)</f>
        <v>2626.5157295569034</v>
      </c>
      <c r="BH18" s="18">
        <f t="shared" si="28"/>
        <v>2626.5092018629775</v>
      </c>
      <c r="BI18" s="18">
        <f t="shared" si="29"/>
        <v>2626.5157295569034</v>
      </c>
      <c r="BJ18" s="21">
        <f t="shared" si="30"/>
        <v>0.99999751469452391</v>
      </c>
      <c r="BK18" s="21">
        <f t="shared" si="31"/>
        <v>0.38411164334622133</v>
      </c>
      <c r="BL18" s="18">
        <f t="shared" si="32"/>
        <v>1310.958254117937</v>
      </c>
      <c r="BM18" s="21">
        <f t="shared" si="33"/>
        <v>8.4431146461385803E-2</v>
      </c>
      <c r="BO18" s="21">
        <f t="shared" si="87"/>
        <v>0.58660357434692434</v>
      </c>
      <c r="BP18" s="18">
        <f>EST_FEC!$B92*$D$14/SUM($D$14:$D$26)</f>
        <v>4.7072348323668702</v>
      </c>
      <c r="BQ18" s="18">
        <f t="shared" si="34"/>
        <v>2.2353225345364174</v>
      </c>
      <c r="BR18" s="18">
        <f t="shared" si="35"/>
        <v>4.5982667434629896</v>
      </c>
      <c r="BS18" s="21">
        <f t="shared" si="36"/>
        <v>0.48612285003130962</v>
      </c>
      <c r="BT18" s="21">
        <f t="shared" si="88"/>
        <v>0.5898900465721848</v>
      </c>
      <c r="BU18" s="18">
        <f>EST_FEC!$B92*$D$15/SUM($D$14:D$26)</f>
        <v>203.75602202959453</v>
      </c>
      <c r="BV18" s="18">
        <f t="shared" si="37"/>
        <v>81.474755859261151</v>
      </c>
      <c r="BW18" s="18">
        <f t="shared" si="38"/>
        <v>193.74528269042997</v>
      </c>
      <c r="BX18" s="21">
        <f t="shared" si="39"/>
        <v>0.42052510764581102</v>
      </c>
      <c r="BY18" s="21">
        <f t="shared" si="89"/>
        <v>0.66831163276329697</v>
      </c>
      <c r="BZ18" s="18">
        <f>EST_FEC!$B92*$D$16/SUM($D$14:D$26)</f>
        <v>4.7072348323668702</v>
      </c>
      <c r="CA18" s="18">
        <f t="shared" si="40"/>
        <v>2.4564856777960302</v>
      </c>
      <c r="CB18" s="18">
        <f t="shared" si="41"/>
        <v>4.4340805722542793</v>
      </c>
      <c r="CC18" s="21">
        <f t="shared" si="42"/>
        <v>0.55400113682353702</v>
      </c>
      <c r="CD18" s="21">
        <f t="shared" si="90"/>
        <v>0.47013893412288604</v>
      </c>
      <c r="CE18" s="18">
        <f>EST_FEC!$B92*$D$17/SUM($D$16:D$26)</f>
        <v>307.07939958103202</v>
      </c>
      <c r="CF18" s="18">
        <f t="shared" si="43"/>
        <v>106.89462317097912</v>
      </c>
      <c r="CG18" s="18">
        <f t="shared" si="44"/>
        <v>297.41644612953377</v>
      </c>
      <c r="CH18" s="21">
        <f t="shared" si="45"/>
        <v>0.35941059938704029</v>
      </c>
      <c r="CI18" s="21">
        <f t="shared" si="91"/>
        <v>0.67977950507814811</v>
      </c>
      <c r="CJ18" s="18">
        <f>EST_FEC!$B92*$D$18/SUM($D$16:D$26)</f>
        <v>68.239866573562665</v>
      </c>
      <c r="CK18" s="18">
        <f t="shared" si="46"/>
        <v>32.548129181956611</v>
      </c>
      <c r="CL18" s="18">
        <f t="shared" si="47"/>
        <v>63.931979843954785</v>
      </c>
      <c r="CM18" s="21">
        <f t="shared" si="48"/>
        <v>0.50910560350860556</v>
      </c>
      <c r="CN18" s="21">
        <f t="shared" si="92"/>
        <v>0.80605352859073709</v>
      </c>
      <c r="CO18" s="18">
        <f>EST_FEC!$B92*$D$19/SUM($D$16:$D$26)</f>
        <v>278.64612184204759</v>
      </c>
      <c r="CP18" s="18">
        <f t="shared" si="49"/>
        <v>177.43385785538891</v>
      </c>
      <c r="CQ18" s="18">
        <f t="shared" si="50"/>
        <v>264.80046503548505</v>
      </c>
      <c r="CR18" s="21">
        <f t="shared" si="51"/>
        <v>0.67006626227643362</v>
      </c>
      <c r="CS18" s="18">
        <f t="shared" si="93"/>
        <v>0.82505922595317449</v>
      </c>
      <c r="CT18" s="18">
        <f>EST_FEC!$B92*$D$20/SUM($D$16:D$26)</f>
        <v>25.589949965086003</v>
      </c>
      <c r="CU18" s="18">
        <f t="shared" si="52"/>
        <v>15.076406100148775</v>
      </c>
      <c r="CV18" s="18">
        <f t="shared" si="53"/>
        <v>24.03915486679896</v>
      </c>
      <c r="CW18" s="21">
        <f t="shared" si="54"/>
        <v>0.62716040491802616</v>
      </c>
      <c r="CX18" s="21">
        <f t="shared" si="94"/>
        <v>0.68032237788693162</v>
      </c>
      <c r="CY18" s="18">
        <f>EST_FEC!$B92*$D$21/SUM($D$14:$D$26)</f>
        <v>533.26246029527545</v>
      </c>
      <c r="CZ18" s="18">
        <f t="shared" si="55"/>
        <v>229.38600132660139</v>
      </c>
      <c r="DA18" s="18">
        <f t="shared" si="56"/>
        <v>498.85226406322244</v>
      </c>
      <c r="DB18" s="21">
        <f t="shared" si="57"/>
        <v>0.45982752380077396</v>
      </c>
      <c r="DC18" s="21">
        <f t="shared" si="95"/>
        <v>0.64016903179667428</v>
      </c>
      <c r="DD18" s="18">
        <f>EST_FEC!$B92*$D$22/SUM($D$14:$D$26)</f>
        <v>626.06223270479381</v>
      </c>
      <c r="DE18" s="18">
        <f t="shared" si="58"/>
        <v>233.1530718121567</v>
      </c>
      <c r="DF18" s="18">
        <f t="shared" si="59"/>
        <v>560.78410128529981</v>
      </c>
      <c r="DG18" s="21">
        <f t="shared" si="60"/>
        <v>0.41576262821605869</v>
      </c>
      <c r="DH18" s="21">
        <f t="shared" si="96"/>
        <v>0.45672197877546111</v>
      </c>
      <c r="DI18" s="18">
        <f>EST_FEC!$B92*$D$23/SUM($D$14:$D$26)</f>
        <v>1384.5995028347695</v>
      </c>
      <c r="DJ18" s="18">
        <f t="shared" si="61"/>
        <v>336.42826270374189</v>
      </c>
      <c r="DK18" s="18">
        <f t="shared" si="62"/>
        <v>1336.895118578198</v>
      </c>
      <c r="DL18" s="21">
        <f t="shared" si="63"/>
        <v>0.25164895737037091</v>
      </c>
      <c r="DM18" s="21">
        <f t="shared" si="97"/>
        <v>0.37477785302516775</v>
      </c>
      <c r="DN18" s="18">
        <f>EST_FEC!$B92*$D$24/SUM($D$14:$D$26)</f>
        <v>230.65450678597668</v>
      </c>
      <c r="DO18" s="18">
        <f t="shared" si="64"/>
        <v>37.317180230161846</v>
      </c>
      <c r="DP18" s="18">
        <f t="shared" si="65"/>
        <v>211.86190653887871</v>
      </c>
      <c r="DQ18" s="21">
        <f t="shared" si="66"/>
        <v>0.17613916932874282</v>
      </c>
      <c r="DR18" s="21">
        <f t="shared" si="98"/>
        <v>0.75036350838023358</v>
      </c>
      <c r="DS18" s="18">
        <f>EST_FEC!$B92*$D$25/SUM($D$14:$D$26)</f>
        <v>51.779583156035578</v>
      </c>
      <c r="DT18" s="18">
        <f t="shared" si="67"/>
        <v>26.137815602524899</v>
      </c>
      <c r="DU18" s="18">
        <f t="shared" si="68"/>
        <v>47.877120994999757</v>
      </c>
      <c r="DV18" s="21">
        <f t="shared" si="69"/>
        <v>0.54593540838127486</v>
      </c>
      <c r="DW18" s="21">
        <f t="shared" si="99"/>
        <v>0.73736637599293775</v>
      </c>
      <c r="DX18" s="18">
        <f>EST_FEC!$B92*$D$26/SUM($D$14:$D$26)</f>
        <v>179.54738574885064</v>
      </c>
      <c r="DY18" s="18">
        <f t="shared" si="70"/>
        <v>103.99024322334678</v>
      </c>
      <c r="DZ18" s="18">
        <f t="shared" si="71"/>
        <v>176.55405168275195</v>
      </c>
      <c r="EA18" s="21">
        <f t="shared" si="72"/>
        <v>0.58899947201554859</v>
      </c>
      <c r="EB18" s="21">
        <f t="shared" si="73"/>
        <v>0.37564051817684257</v>
      </c>
      <c r="EC18" s="18">
        <f t="shared" si="74"/>
        <v>212.84126215648803</v>
      </c>
      <c r="ED18" s="21">
        <f t="shared" si="75"/>
        <v>5.4593839425955311E-2</v>
      </c>
    </row>
    <row r="19" spans="1:134" ht="19.5" customHeight="1" thickBot="1" x14ac:dyDescent="0.4">
      <c r="A19" s="77"/>
      <c r="B19" s="31" t="s">
        <v>37</v>
      </c>
      <c r="C19" s="34">
        <v>231</v>
      </c>
      <c r="D19" s="34">
        <v>392</v>
      </c>
      <c r="E19" s="21">
        <f t="shared" si="0"/>
        <v>0.5892857142857143</v>
      </c>
      <c r="F19" s="21">
        <f t="shared" si="101"/>
        <v>0.7459441356839035</v>
      </c>
      <c r="G19" s="55">
        <v>0.91</v>
      </c>
      <c r="H19" s="23" t="s">
        <v>200</v>
      </c>
      <c r="I19" s="23" t="s">
        <v>181</v>
      </c>
      <c r="J19" s="56">
        <f>'Efficiency Assumptions'!G29</f>
        <v>2.0464021155483838</v>
      </c>
      <c r="K19" s="84"/>
      <c r="L19" s="58">
        <f t="shared" si="76"/>
        <v>0.95389877839414028</v>
      </c>
      <c r="M19" s="47">
        <f t="shared" si="77"/>
        <v>2036</v>
      </c>
      <c r="N19" s="21">
        <f t="shared" si="78"/>
        <v>0.53390756638809833</v>
      </c>
      <c r="O19" s="18">
        <f>EST_FEC!B199*D$5/SUM(D$5:D$8)</f>
        <v>113.67369133122904</v>
      </c>
      <c r="P19" s="18">
        <f t="shared" si="1"/>
        <v>42.315055086700696</v>
      </c>
      <c r="Q19" s="18">
        <f t="shared" si="2"/>
        <v>104.01450299903445</v>
      </c>
      <c r="R19" s="21">
        <f t="shared" si="3"/>
        <v>0.40681879801986365</v>
      </c>
      <c r="S19" s="21">
        <f t="shared" si="79"/>
        <v>0.28928586177539578</v>
      </c>
      <c r="T19" s="18">
        <f>EST_FEC!B199*D$6/SUM(D$5:D$8)</f>
        <v>10188.205670429461</v>
      </c>
      <c r="U19" s="18">
        <f t="shared" si="4"/>
        <v>1185.3222832556448</v>
      </c>
      <c r="V19" s="18">
        <f t="shared" si="5"/>
        <v>8464.46287560575</v>
      </c>
      <c r="W19" s="21">
        <f t="shared" si="6"/>
        <v>0.14003514466011743</v>
      </c>
      <c r="X19" s="21">
        <f t="shared" si="80"/>
        <v>0</v>
      </c>
      <c r="Y19" s="18">
        <f>EST_FEC!$B199*$D$7/SUM($D$5:$D$8)</f>
        <v>19.064327524398781</v>
      </c>
      <c r="Z19" s="18">
        <f t="shared" si="7"/>
        <v>0</v>
      </c>
      <c r="AA19" s="18">
        <f t="shared" si="8"/>
        <v>19.064327524398781</v>
      </c>
      <c r="AB19" s="21">
        <f t="shared" si="9"/>
        <v>0</v>
      </c>
      <c r="AC19" s="21">
        <f t="shared" si="81"/>
        <v>0</v>
      </c>
      <c r="AD19" s="18">
        <f>EST_FEC!$B199*$D$8/SUM($D$5:$D$8)</f>
        <v>62.352252175087813</v>
      </c>
      <c r="AE19" s="18">
        <f t="shared" si="10"/>
        <v>0</v>
      </c>
      <c r="AF19" s="18">
        <f t="shared" si="11"/>
        <v>62.352252175087813</v>
      </c>
      <c r="AG19" s="21">
        <f t="shared" si="12"/>
        <v>0</v>
      </c>
      <c r="AH19" s="21">
        <f t="shared" si="13"/>
        <v>0.14192513159814646</v>
      </c>
      <c r="AI19" s="18">
        <f t="shared" si="14"/>
        <v>1733.4019831559053</v>
      </c>
      <c r="AJ19" s="21">
        <f t="shared" si="15"/>
        <v>0.16694140212593628</v>
      </c>
      <c r="AL19" s="21">
        <f t="shared" si="82"/>
        <v>0.43317238100075461</v>
      </c>
      <c r="AM19" s="18">
        <f>EST_FEC!B146*$D$9/SUM($D$9:$D$13)</f>
        <v>10565.8773731769</v>
      </c>
      <c r="AN19" s="18">
        <f t="shared" si="16"/>
        <v>2140.9055698527595</v>
      </c>
      <c r="AO19" s="18">
        <f t="shared" si="17"/>
        <v>9144.6092908648588</v>
      </c>
      <c r="AP19" s="21">
        <f t="shared" si="18"/>
        <v>0.23411668030382102</v>
      </c>
      <c r="AQ19" s="21">
        <f t="shared" si="83"/>
        <v>1</v>
      </c>
      <c r="AR19" s="18">
        <f>EST_FEC!$B146*$D$10/SUM($D$9:$D$13)</f>
        <v>8.9975783816640966</v>
      </c>
      <c r="AS19" s="18">
        <f t="shared" si="19"/>
        <v>8.9975783816640966</v>
      </c>
      <c r="AT19" s="18">
        <f t="shared" si="20"/>
        <v>8.9975783816640966</v>
      </c>
      <c r="AU19" s="21">
        <f t="shared" si="21"/>
        <v>1</v>
      </c>
      <c r="AV19" s="18">
        <f t="shared" si="84"/>
        <v>0.53896979519349353</v>
      </c>
      <c r="AW19" s="18">
        <f>EST_FEC!$B146*$D$11/SUM($D$9:$D$13)</f>
        <v>1791.5962057790143</v>
      </c>
      <c r="AX19" s="18">
        <f t="shared" si="22"/>
        <v>510.36309205145045</v>
      </c>
      <c r="AY19" s="18">
        <f t="shared" si="23"/>
        <v>1601.7637742069805</v>
      </c>
      <c r="AZ19" s="21">
        <f t="shared" si="24"/>
        <v>0.31862569267064789</v>
      </c>
      <c r="BA19" s="18">
        <f t="shared" si="85"/>
        <v>0.69935794638526216</v>
      </c>
      <c r="BB19" s="18">
        <f>EST_FEC!$B146*$D$12/SUM($D$9:$D$13)</f>
        <v>566.16748367478249</v>
      </c>
      <c r="BC19" s="18">
        <f t="shared" si="25"/>
        <v>395.9537286929073</v>
      </c>
      <c r="BD19" s="18">
        <f t="shared" si="26"/>
        <v>566.16748367478249</v>
      </c>
      <c r="BE19" s="21">
        <f t="shared" si="27"/>
        <v>0.69935794638526216</v>
      </c>
      <c r="BF19" s="18">
        <f t="shared" si="86"/>
        <v>0.9999977429435597</v>
      </c>
      <c r="BG19" s="18">
        <f>EST_FEC!$B146*$D$13/SUM($D$9:$D$13)</f>
        <v>2633.0723516384983</v>
      </c>
      <c r="BH19" s="18">
        <f t="shared" si="28"/>
        <v>2633.066408645589</v>
      </c>
      <c r="BI19" s="18">
        <f t="shared" si="29"/>
        <v>2633.0723516384983</v>
      </c>
      <c r="BJ19" s="21">
        <f t="shared" si="30"/>
        <v>0.99999774294355959</v>
      </c>
      <c r="BK19" s="21">
        <f t="shared" si="31"/>
        <v>0.40769940417048112</v>
      </c>
      <c r="BL19" s="18">
        <f t="shared" si="32"/>
        <v>1611.1005138840756</v>
      </c>
      <c r="BM19" s="21">
        <f t="shared" si="33"/>
        <v>0.1035031753220097</v>
      </c>
      <c r="BO19" s="21">
        <f t="shared" si="87"/>
        <v>0.59952254903553781</v>
      </c>
      <c r="BP19" s="18">
        <f>EST_FEC!$B93*$D$14/SUM($D$14:$D$26)</f>
        <v>4.6999077184705786</v>
      </c>
      <c r="BQ19" s="18">
        <f t="shared" si="34"/>
        <v>2.2809957688265601</v>
      </c>
      <c r="BR19" s="18">
        <f t="shared" si="35"/>
        <v>4.5665329165867083</v>
      </c>
      <c r="BS19" s="21">
        <f t="shared" si="36"/>
        <v>0.49950275416639472</v>
      </c>
      <c r="BT19" s="21">
        <f t="shared" si="88"/>
        <v>0.60656163933324481</v>
      </c>
      <c r="BU19" s="18">
        <f>EST_FEC!$B93*$D$15/SUM($D$14:D$26)</f>
        <v>203.43886267094075</v>
      </c>
      <c r="BV19" s="18">
        <f t="shared" si="37"/>
        <v>83.647007087823255</v>
      </c>
      <c r="BW19" s="18">
        <f t="shared" si="38"/>
        <v>191.18591422059305</v>
      </c>
      <c r="BX19" s="21">
        <f t="shared" si="39"/>
        <v>0.43751657871254124</v>
      </c>
      <c r="BY19" s="21">
        <f t="shared" si="89"/>
        <v>0.69529659151961476</v>
      </c>
      <c r="BZ19" s="18">
        <f>EST_FEC!$B93*$D$16/SUM($D$14:D$26)</f>
        <v>4.6999077184705786</v>
      </c>
      <c r="CA19" s="18">
        <f t="shared" si="40"/>
        <v>2.5516951149652685</v>
      </c>
      <c r="CB19" s="18">
        <f t="shared" si="41"/>
        <v>4.3655722658373914</v>
      </c>
      <c r="CC19" s="21">
        <f t="shared" si="42"/>
        <v>0.58450415193752603</v>
      </c>
      <c r="CD19" s="21">
        <f t="shared" si="90"/>
        <v>0.48664975154694767</v>
      </c>
      <c r="CE19" s="18">
        <f>EST_FEC!$B93*$D$17/SUM($D$16:D$26)</f>
        <v>306.60141073703716</v>
      </c>
      <c r="CF19" s="18">
        <f t="shared" si="43"/>
        <v>110.47642555115415</v>
      </c>
      <c r="CG19" s="18">
        <f t="shared" si="44"/>
        <v>294.7741453865043</v>
      </c>
      <c r="CH19" s="21">
        <f t="shared" si="45"/>
        <v>0.37478329521165704</v>
      </c>
      <c r="CI19" s="21">
        <f t="shared" si="91"/>
        <v>0.69919240453159648</v>
      </c>
      <c r="CJ19" s="18">
        <f>EST_FEC!$B93*$D$18/SUM($D$16:D$26)</f>
        <v>68.133646830452705</v>
      </c>
      <c r="CK19" s="18">
        <f t="shared" si="46"/>
        <v>33.425516908472837</v>
      </c>
      <c r="CL19" s="18">
        <f t="shared" si="47"/>
        <v>62.860878032915792</v>
      </c>
      <c r="CM19" s="21">
        <f t="shared" si="48"/>
        <v>0.53173798958026419</v>
      </c>
      <c r="CN19" s="21">
        <f t="shared" si="92"/>
        <v>0.81963155191934378</v>
      </c>
      <c r="CO19" s="18">
        <f>EST_FEC!$B93*$D$19/SUM($D$16:$D$26)</f>
        <v>278.21239122434855</v>
      </c>
      <c r="CP19" s="18">
        <f t="shared" si="49"/>
        <v>180.14190295037889</v>
      </c>
      <c r="CQ19" s="18">
        <f t="shared" si="50"/>
        <v>261.26557906949586</v>
      </c>
      <c r="CR19" s="21">
        <f t="shared" si="51"/>
        <v>0.68949726784507537</v>
      </c>
      <c r="CS19" s="18">
        <f t="shared" si="93"/>
        <v>0.83568749145765309</v>
      </c>
      <c r="CT19" s="18">
        <f>EST_FEC!$B93*$D$20/SUM($D$16:D$26)</f>
        <v>25.550117561419764</v>
      </c>
      <c r="CU19" s="18">
        <f t="shared" si="52"/>
        <v>15.246847970298058</v>
      </c>
      <c r="CV19" s="18">
        <f t="shared" si="53"/>
        <v>23.651974801671432</v>
      </c>
      <c r="CW19" s="21">
        <f t="shared" si="54"/>
        <v>0.64463319017321952</v>
      </c>
      <c r="CX19" s="21">
        <f t="shared" si="94"/>
        <v>0.69569110660543665</v>
      </c>
      <c r="CY19" s="18">
        <f>EST_FEC!$B93*$D$21/SUM($D$14:$D$26)</f>
        <v>532.43240296388115</v>
      </c>
      <c r="CZ19" s="18">
        <f t="shared" si="55"/>
        <v>234.20279405790902</v>
      </c>
      <c r="DA19" s="18">
        <f t="shared" si="56"/>
        <v>490.31499821354623</v>
      </c>
      <c r="DB19" s="21">
        <f t="shared" si="57"/>
        <v>0.47765782183131789</v>
      </c>
      <c r="DC19" s="21">
        <f t="shared" si="95"/>
        <v>0.66716035549847508</v>
      </c>
      <c r="DD19" s="18">
        <f>EST_FEC!$B93*$D$22/SUM($D$14:$D$26)</f>
        <v>625.08772655658686</v>
      </c>
      <c r="DE19" s="18">
        <f t="shared" si="58"/>
        <v>242.60524052426385</v>
      </c>
      <c r="DF19" s="18">
        <f t="shared" si="59"/>
        <v>545.18857504348455</v>
      </c>
      <c r="DG19" s="21">
        <f t="shared" si="60"/>
        <v>0.44499325853428517</v>
      </c>
      <c r="DH19" s="21">
        <f t="shared" si="96"/>
        <v>0.46647458485868964</v>
      </c>
      <c r="DI19" s="18">
        <f>EST_FEC!$B93*$D$23/SUM($D$14:$D$26)</f>
        <v>1382.444284618703</v>
      </c>
      <c r="DJ19" s="18">
        <f t="shared" si="61"/>
        <v>343.07732421771232</v>
      </c>
      <c r="DK19" s="18">
        <f t="shared" si="62"/>
        <v>1324.0550546779573</v>
      </c>
      <c r="DL19" s="21">
        <f t="shared" si="63"/>
        <v>0.25911107170778269</v>
      </c>
      <c r="DM19" s="21">
        <f t="shared" si="97"/>
        <v>0.39841378067930833</v>
      </c>
      <c r="DN19" s="18">
        <f>EST_FEC!$B93*$D$24/SUM($D$14:$D$26)</f>
        <v>230.29547820505832</v>
      </c>
      <c r="DO19" s="18">
        <f t="shared" si="64"/>
        <v>39.608894285463784</v>
      </c>
      <c r="DP19" s="18">
        <f t="shared" si="65"/>
        <v>207.29370438253667</v>
      </c>
      <c r="DQ19" s="21">
        <f t="shared" si="66"/>
        <v>0.19107620467030745</v>
      </c>
      <c r="DR19" s="21">
        <f t="shared" si="98"/>
        <v>0.767234634268951</v>
      </c>
      <c r="DS19" s="18">
        <f>EST_FEC!$B93*$D$25/SUM($D$14:$D$26)</f>
        <v>51.69898490317636</v>
      </c>
      <c r="DT19" s="18">
        <f t="shared" si="67"/>
        <v>26.683896648141598</v>
      </c>
      <c r="DU19" s="18">
        <f t="shared" si="68"/>
        <v>46.9224478194933</v>
      </c>
      <c r="DV19" s="21">
        <f t="shared" si="69"/>
        <v>0.56868083163078575</v>
      </c>
      <c r="DW19" s="21">
        <f t="shared" si="99"/>
        <v>0.74236520556796404</v>
      </c>
      <c r="DX19" s="18">
        <f>EST_FEC!$B93*$D$26/SUM($D$14:$D$26)</f>
        <v>179.26790869023489</v>
      </c>
      <c r="DY19" s="18">
        <f t="shared" si="70"/>
        <v>104.53225966588303</v>
      </c>
      <c r="DZ19" s="18">
        <f t="shared" si="71"/>
        <v>175.60412654948067</v>
      </c>
      <c r="EA19" s="21">
        <f t="shared" si="72"/>
        <v>0.59527222804999724</v>
      </c>
      <c r="EB19" s="21">
        <f t="shared" si="73"/>
        <v>0.39054555821202569</v>
      </c>
      <c r="EC19" s="18">
        <f t="shared" si="74"/>
        <v>260.51352701867791</v>
      </c>
      <c r="ED19" s="21">
        <f t="shared" si="75"/>
        <v>6.6925962401690159E-2</v>
      </c>
    </row>
    <row r="20" spans="1:134" ht="19.5" customHeight="1" thickBot="1" x14ac:dyDescent="0.4">
      <c r="A20" s="77"/>
      <c r="B20" s="31" t="s">
        <v>38</v>
      </c>
      <c r="C20" s="34">
        <v>20</v>
      </c>
      <c r="D20" s="34">
        <v>36</v>
      </c>
      <c r="E20" s="21">
        <f t="shared" si="0"/>
        <v>0.55555555555555558</v>
      </c>
      <c r="F20" s="21">
        <f t="shared" si="101"/>
        <v>0.77800829875518684</v>
      </c>
      <c r="G20" s="55">
        <v>0.85</v>
      </c>
      <c r="H20" s="23" t="s">
        <v>200</v>
      </c>
      <c r="I20" s="23" t="s">
        <v>183</v>
      </c>
      <c r="J20" s="56">
        <f>'Efficiency Assumptions'!G30</f>
        <v>2.8037383177570097</v>
      </c>
      <c r="K20" s="84"/>
      <c r="L20" s="58">
        <f t="shared" si="76"/>
        <v>0.94078583287216389</v>
      </c>
      <c r="M20" s="47">
        <f t="shared" si="77"/>
        <v>2037</v>
      </c>
      <c r="N20" s="21">
        <f t="shared" si="78"/>
        <v>0.57779829883331413</v>
      </c>
      <c r="O20" s="18">
        <f>EST_FEC!B200*D$5/SUM(D$5:D$8)</f>
        <v>114.14500494629026</v>
      </c>
      <c r="P20" s="18">
        <f t="shared" si="1"/>
        <v>45.983501885548272</v>
      </c>
      <c r="Q20" s="18">
        <f t="shared" si="2"/>
        <v>102.10459896442994</v>
      </c>
      <c r="R20" s="21">
        <f t="shared" si="3"/>
        <v>0.45035681401155586</v>
      </c>
      <c r="S20" s="21">
        <f t="shared" si="79"/>
        <v>0.34561596920197774</v>
      </c>
      <c r="T20" s="18">
        <f>EST_FEC!B200*D$6/SUM(D$5:D$8)</f>
        <v>10230.44798691697</v>
      </c>
      <c r="U20" s="18">
        <f t="shared" si="4"/>
        <v>1422.0012854891336</v>
      </c>
      <c r="V20" s="18">
        <f t="shared" si="5"/>
        <v>8151.997088023546</v>
      </c>
      <c r="W20" s="21">
        <f t="shared" si="6"/>
        <v>0.17443594129569276</v>
      </c>
      <c r="X20" s="21">
        <f t="shared" si="80"/>
        <v>0</v>
      </c>
      <c r="Y20" s="18">
        <f>EST_FEC!$B200*$D$7/SUM($D$5:$D$8)</f>
        <v>19.14337199826964</v>
      </c>
      <c r="Z20" s="18">
        <f t="shared" si="7"/>
        <v>0</v>
      </c>
      <c r="AA20" s="18">
        <f t="shared" si="8"/>
        <v>19.14337199826964</v>
      </c>
      <c r="AB20" s="21">
        <f t="shared" si="9"/>
        <v>0</v>
      </c>
      <c r="AC20" s="21">
        <f t="shared" si="81"/>
        <v>0</v>
      </c>
      <c r="AD20" s="18">
        <f>EST_FEC!$B200*$D$8/SUM($D$5:$D$8)</f>
        <v>62.610776949252291</v>
      </c>
      <c r="AE20" s="18">
        <f t="shared" si="10"/>
        <v>0</v>
      </c>
      <c r="AF20" s="18">
        <f t="shared" si="11"/>
        <v>62.610776949252291</v>
      </c>
      <c r="AG20" s="21">
        <f t="shared" si="12"/>
        <v>0</v>
      </c>
      <c r="AH20" s="21">
        <f t="shared" si="13"/>
        <v>0.17610486748658319</v>
      </c>
      <c r="AI20" s="18">
        <f t="shared" si="14"/>
        <v>2090.4913048752842</v>
      </c>
      <c r="AJ20" s="21">
        <f t="shared" si="15"/>
        <v>0.20050083472596922</v>
      </c>
      <c r="AL20" s="21">
        <f t="shared" si="82"/>
        <v>0.47170134914696127</v>
      </c>
      <c r="AM20" s="18">
        <f>EST_FEC!B147*$D$9/SUM($D$9:$D$13)</f>
        <v>10596.091531485159</v>
      </c>
      <c r="AN20" s="18">
        <f t="shared" si="16"/>
        <v>2337.9973110603041</v>
      </c>
      <c r="AO20" s="18">
        <f t="shared" si="17"/>
        <v>8884.3047753324136</v>
      </c>
      <c r="AP20" s="21">
        <f t="shared" si="18"/>
        <v>0.26316041268100532</v>
      </c>
      <c r="AQ20" s="21">
        <f t="shared" si="83"/>
        <v>1</v>
      </c>
      <c r="AR20" s="18">
        <f>EST_FEC!$B147*$D$10/SUM($D$9:$D$13)</f>
        <v>9.0233078358317815</v>
      </c>
      <c r="AS20" s="18">
        <f t="shared" si="19"/>
        <v>9.0233078358317815</v>
      </c>
      <c r="AT20" s="18">
        <f t="shared" si="20"/>
        <v>9.0233078358317815</v>
      </c>
      <c r="AU20" s="21">
        <f t="shared" si="21"/>
        <v>1</v>
      </c>
      <c r="AV20" s="18">
        <f t="shared" si="84"/>
        <v>0.56582965285129883</v>
      </c>
      <c r="AW20" s="18">
        <f>EST_FEC!$B147*$D$11/SUM($D$9:$D$13)</f>
        <v>1796.7194501130152</v>
      </c>
      <c r="AX20" s="18">
        <f t="shared" si="22"/>
        <v>537.3294836099592</v>
      </c>
      <c r="AY20" s="18">
        <f t="shared" si="23"/>
        <v>1568.0837364870088</v>
      </c>
      <c r="AZ20" s="21">
        <f t="shared" si="24"/>
        <v>0.34266632011230663</v>
      </c>
      <c r="BA20" s="18">
        <f t="shared" si="85"/>
        <v>0.7325177865180188</v>
      </c>
      <c r="BB20" s="18">
        <f>EST_FEC!$B147*$D$12/SUM($D$9:$D$13)</f>
        <v>567.78649489141503</v>
      </c>
      <c r="BC20" s="18">
        <f t="shared" si="25"/>
        <v>415.91370645268375</v>
      </c>
      <c r="BD20" s="18">
        <f t="shared" si="26"/>
        <v>567.78649489141503</v>
      </c>
      <c r="BE20" s="21">
        <f t="shared" si="27"/>
        <v>0.7325177865180188</v>
      </c>
      <c r="BF20" s="18">
        <f t="shared" si="86"/>
        <v>0.99999799188953997</v>
      </c>
      <c r="BG20" s="18">
        <f>EST_FEC!$B147*$D$13/SUM($D$9:$D$13)</f>
        <v>2640.6018791977967</v>
      </c>
      <c r="BH20" s="18">
        <f t="shared" si="28"/>
        <v>2640.5965765775422</v>
      </c>
      <c r="BI20" s="18">
        <f t="shared" si="29"/>
        <v>2640.6018791977967</v>
      </c>
      <c r="BJ20" s="21">
        <f t="shared" si="30"/>
        <v>0.99999799188953997</v>
      </c>
      <c r="BK20" s="21">
        <f t="shared" si="31"/>
        <v>0.43459745580297221</v>
      </c>
      <c r="BL20" s="18">
        <f t="shared" si="32"/>
        <v>1940.4224697787504</v>
      </c>
      <c r="BM20" s="21">
        <f t="shared" si="33"/>
        <v>0.12430459908256031</v>
      </c>
      <c r="BO20" s="21">
        <f t="shared" si="87"/>
        <v>0.61361297795705139</v>
      </c>
      <c r="BP20" s="18">
        <f>EST_FEC!$B94*$D$14/SUM($D$14:$D$26)</f>
        <v>4.6942924816384464</v>
      </c>
      <c r="BQ20" s="18">
        <f t="shared" si="34"/>
        <v>2.3318161625720277</v>
      </c>
      <c r="BR20" s="18">
        <f t="shared" si="35"/>
        <v>4.534304217846385</v>
      </c>
      <c r="BS20" s="21">
        <f t="shared" si="36"/>
        <v>0.51426107524817732</v>
      </c>
      <c r="BT20" s="21">
        <f t="shared" si="88"/>
        <v>0.62474496258220069</v>
      </c>
      <c r="BU20" s="18">
        <f>EST_FEC!$B94*$D$15/SUM($D$14:D$26)</f>
        <v>203.19580313377844</v>
      </c>
      <c r="BV20" s="18">
        <f t="shared" si="37"/>
        <v>86.051618470581815</v>
      </c>
      <c r="BW20" s="18">
        <f t="shared" si="38"/>
        <v>188.49791476794141</v>
      </c>
      <c r="BX20" s="21">
        <f t="shared" si="39"/>
        <v>0.45651230983918001</v>
      </c>
      <c r="BY20" s="21">
        <f t="shared" si="89"/>
        <v>0.72472846614361275</v>
      </c>
      <c r="BZ20" s="18">
        <f>EST_FEC!$B94*$D$16/SUM($D$14:D$26)</f>
        <v>4.6942924816384464</v>
      </c>
      <c r="CA20" s="18">
        <f t="shared" si="40"/>
        <v>2.65653055979443</v>
      </c>
      <c r="CB20" s="18">
        <f t="shared" si="41"/>
        <v>4.2932440989200202</v>
      </c>
      <c r="CC20" s="21">
        <f t="shared" si="42"/>
        <v>0.61876997873535522</v>
      </c>
      <c r="CD20" s="21">
        <f t="shared" si="90"/>
        <v>0.50465772082912908</v>
      </c>
      <c r="CE20" s="18">
        <f>EST_FEC!$B94*$D$17/SUM($D$16:D$26)</f>
        <v>306.23509726079845</v>
      </c>
      <c r="CF20" s="18">
        <f t="shared" si="43"/>
        <v>114.42761462374796</v>
      </c>
      <c r="CG20" s="18">
        <f t="shared" si="44"/>
        <v>292.04783233434466</v>
      </c>
      <c r="CH20" s="21">
        <f t="shared" si="45"/>
        <v>0.39181121020185478</v>
      </c>
      <c r="CI20" s="21">
        <f t="shared" si="91"/>
        <v>0.72036560801734939</v>
      </c>
      <c r="CJ20" s="18">
        <f>EST_FEC!$B94*$D$18/SUM($D$16:D$26)</f>
        <v>68.05224383573298</v>
      </c>
      <c r="CK20" s="18">
        <f t="shared" si="46"/>
        <v>34.3965761688561</v>
      </c>
      <c r="CL20" s="18">
        <f t="shared" si="47"/>
        <v>61.727352526583054</v>
      </c>
      <c r="CM20" s="21">
        <f t="shared" si="48"/>
        <v>0.55723394509821433</v>
      </c>
      <c r="CN20" s="21">
        <f t="shared" si="92"/>
        <v>0.83444079005300253</v>
      </c>
      <c r="CO20" s="18">
        <f>EST_FEC!$B94*$D$19/SUM($D$16:$D$26)</f>
        <v>277.87999566257633</v>
      </c>
      <c r="CP20" s="18">
        <f t="shared" si="49"/>
        <v>183.17762246662556</v>
      </c>
      <c r="CQ20" s="18">
        <f t="shared" si="50"/>
        <v>257.55163516892168</v>
      </c>
      <c r="CR20" s="21">
        <f t="shared" si="51"/>
        <v>0.71122678893684343</v>
      </c>
      <c r="CS20" s="18">
        <f t="shared" si="93"/>
        <v>0.84727949649361189</v>
      </c>
      <c r="CT20" s="18">
        <f>EST_FEC!$B94*$D$20/SUM($D$16:D$26)</f>
        <v>25.519591438399871</v>
      </c>
      <c r="CU20" s="18">
        <f t="shared" si="52"/>
        <v>15.439871427853873</v>
      </c>
      <c r="CV20" s="18">
        <f t="shared" si="53"/>
        <v>23.242695351041309</v>
      </c>
      <c r="CW20" s="21">
        <f t="shared" si="54"/>
        <v>0.66428919687071242</v>
      </c>
      <c r="CX20" s="21">
        <f t="shared" si="94"/>
        <v>0.71245342597223482</v>
      </c>
      <c r="CY20" s="18">
        <f>EST_FEC!$B94*$D$21/SUM($D$14:$D$26)</f>
        <v>531.79627684846969</v>
      </c>
      <c r="CZ20" s="18">
        <f t="shared" si="55"/>
        <v>239.55923302785573</v>
      </c>
      <c r="DA20" s="18">
        <f t="shared" si="56"/>
        <v>481.27481127732955</v>
      </c>
      <c r="DB20" s="21">
        <f t="shared" si="57"/>
        <v>0.49775975682594414</v>
      </c>
      <c r="DC20" s="21">
        <f t="shared" si="95"/>
        <v>0.69659917222229739</v>
      </c>
      <c r="DD20" s="18">
        <f>EST_FEC!$B94*$D$22/SUM($D$14:$D$26)</f>
        <v>624.34090005791336</v>
      </c>
      <c r="DE20" s="18">
        <f t="shared" si="58"/>
        <v>253.00768616078597</v>
      </c>
      <c r="DF20" s="18">
        <f t="shared" si="59"/>
        <v>528.4987593500291</v>
      </c>
      <c r="DG20" s="21">
        <f t="shared" si="60"/>
        <v>0.4787290068040006</v>
      </c>
      <c r="DH20" s="21">
        <f t="shared" si="96"/>
        <v>0.47711152827931347</v>
      </c>
      <c r="DI20" s="18">
        <f>EST_FEC!$B94*$D$23/SUM($D$14:$D$26)</f>
        <v>1380.7926028133659</v>
      </c>
      <c r="DJ20" s="18">
        <f t="shared" si="61"/>
        <v>350.48122017694141</v>
      </c>
      <c r="DK20" s="18">
        <f t="shared" si="62"/>
        <v>1310.7524498727144</v>
      </c>
      <c r="DL20" s="21">
        <f t="shared" si="63"/>
        <v>0.267389330617674</v>
      </c>
      <c r="DM20" s="21">
        <f t="shared" si="97"/>
        <v>0.42419294401324081</v>
      </c>
      <c r="DN20" s="18">
        <f>EST_FEC!$B94*$D$24/SUM($D$14:$D$26)</f>
        <v>230.02033160028384</v>
      </c>
      <c r="DO20" s="18">
        <f t="shared" si="64"/>
        <v>42.121382954781922</v>
      </c>
      <c r="DP20" s="18">
        <f t="shared" si="65"/>
        <v>202.4288090186262</v>
      </c>
      <c r="DQ20" s="21">
        <f t="shared" si="66"/>
        <v>0.20807998208844958</v>
      </c>
      <c r="DR20" s="21">
        <f t="shared" si="98"/>
        <v>0.78563558371661912</v>
      </c>
      <c r="DS20" s="18">
        <f>EST_FEC!$B94*$D$25/SUM($D$14:$D$26)</f>
        <v>51.637217298022904</v>
      </c>
      <c r="DT20" s="18">
        <f t="shared" si="67"/>
        <v>27.291223783219323</v>
      </c>
      <c r="DU20" s="18">
        <f t="shared" si="68"/>
        <v>45.90757523548227</v>
      </c>
      <c r="DV20" s="21">
        <f t="shared" si="69"/>
        <v>0.59448192685475909</v>
      </c>
      <c r="DW20" s="21">
        <f t="shared" si="99"/>
        <v>0.74781731415362052</v>
      </c>
      <c r="DX20" s="18">
        <f>EST_FEC!$B94*$D$26/SUM($D$14:$D$26)</f>
        <v>179.05372751392358</v>
      </c>
      <c r="DY20" s="18">
        <f t="shared" si="70"/>
        <v>105.1741620840192</v>
      </c>
      <c r="DZ20" s="18">
        <f t="shared" si="71"/>
        <v>174.65887829703772</v>
      </c>
      <c r="EA20" s="21">
        <f t="shared" si="72"/>
        <v>0.60216899999295936</v>
      </c>
      <c r="EB20" s="21">
        <f t="shared" si="73"/>
        <v>0.40725791112498305</v>
      </c>
      <c r="EC20" s="18">
        <f t="shared" si="74"/>
        <v>312.49611090972439</v>
      </c>
      <c r="ED20" s="21">
        <f t="shared" si="75"/>
        <v>8.037632564097319E-2</v>
      </c>
    </row>
    <row r="21" spans="1:134" ht="19.5" customHeight="1" thickBot="1" x14ac:dyDescent="0.4">
      <c r="A21" s="77"/>
      <c r="B21" s="31" t="s">
        <v>40</v>
      </c>
      <c r="C21" s="34">
        <v>307</v>
      </c>
      <c r="D21" s="34">
        <v>793</v>
      </c>
      <c r="E21" s="21">
        <f t="shared" si="0"/>
        <v>0.38713745271122318</v>
      </c>
      <c r="F21" s="21">
        <f t="shared" si="101"/>
        <v>0.6122856003191065</v>
      </c>
      <c r="G21" s="55">
        <v>0.69</v>
      </c>
      <c r="H21" s="23" t="s">
        <v>200</v>
      </c>
      <c r="I21" s="23" t="s">
        <v>181</v>
      </c>
      <c r="J21" s="56">
        <f>'Efficiency Assumptions'!G31</f>
        <v>2.5</v>
      </c>
      <c r="K21" s="84"/>
      <c r="L21" s="58">
        <f t="shared" si="76"/>
        <v>0.84766584766584752</v>
      </c>
      <c r="M21" s="47">
        <f t="shared" si="77"/>
        <v>2038</v>
      </c>
      <c r="N21" s="21">
        <f t="shared" si="78"/>
        <v>0.62267842578811061</v>
      </c>
      <c r="O21" s="18">
        <f>EST_FEC!B201*D$5/SUM(D$5:D$8)</f>
        <v>114.6221309261355</v>
      </c>
      <c r="P21" s="18">
        <f t="shared" si="1"/>
        <v>49.762382920709946</v>
      </c>
      <c r="Q21" s="18">
        <f t="shared" si="2"/>
        <v>100.12744549702359</v>
      </c>
      <c r="R21" s="21">
        <f t="shared" si="3"/>
        <v>0.49699043727415571</v>
      </c>
      <c r="S21" s="21">
        <f t="shared" si="79"/>
        <v>0.40450000000000003</v>
      </c>
      <c r="T21" s="18">
        <f>EST_FEC!B201*D$6/SUM(D$5:D$8)</f>
        <v>10273.211246880122</v>
      </c>
      <c r="U21" s="18">
        <f t="shared" si="4"/>
        <v>1671.230222949129</v>
      </c>
      <c r="V21" s="18">
        <f t="shared" si="5"/>
        <v>7821.2347223078032</v>
      </c>
      <c r="W21" s="21">
        <f t="shared" si="6"/>
        <v>0.21367856640108621</v>
      </c>
      <c r="X21" s="21">
        <f t="shared" si="80"/>
        <v>0</v>
      </c>
      <c r="Y21" s="18">
        <f>EST_FEC!$B201*$D$7/SUM($D$5:$D$8)</f>
        <v>19.223391269603624</v>
      </c>
      <c r="Z21" s="18">
        <f t="shared" si="7"/>
        <v>0</v>
      </c>
      <c r="AA21" s="18">
        <f t="shared" si="8"/>
        <v>19.223391269603624</v>
      </c>
      <c r="AB21" s="21">
        <f t="shared" si="9"/>
        <v>0</v>
      </c>
      <c r="AC21" s="21">
        <f t="shared" si="81"/>
        <v>0</v>
      </c>
      <c r="AD21" s="18">
        <f>EST_FEC!$B201*$D$8/SUM($D$5:$D$8)</f>
        <v>62.872489919652011</v>
      </c>
      <c r="AE21" s="18">
        <f t="shared" si="10"/>
        <v>0</v>
      </c>
      <c r="AF21" s="18">
        <f t="shared" si="11"/>
        <v>62.872489919652011</v>
      </c>
      <c r="AG21" s="21">
        <f t="shared" si="12"/>
        <v>0</v>
      </c>
      <c r="AH21" s="21">
        <f t="shared" si="13"/>
        <v>0.21503112721208587</v>
      </c>
      <c r="AI21" s="18">
        <f t="shared" si="14"/>
        <v>2466.4712100014303</v>
      </c>
      <c r="AJ21" s="21">
        <f t="shared" si="15"/>
        <v>0.23557668337465579</v>
      </c>
      <c r="AL21" s="21">
        <f t="shared" si="82"/>
        <v>0.51197716345983513</v>
      </c>
      <c r="AM21" s="18">
        <f>EST_FEC!B148*$D$9/SUM($D$9:$D$13)</f>
        <v>10626.749788786205</v>
      </c>
      <c r="AN21" s="18">
        <f t="shared" si="16"/>
        <v>2544.9674534294259</v>
      </c>
      <c r="AO21" s="18">
        <f t="shared" si="17"/>
        <v>8609.7019971141272</v>
      </c>
      <c r="AP21" s="21">
        <f t="shared" si="18"/>
        <v>0.29559297804761064</v>
      </c>
      <c r="AQ21" s="21">
        <f t="shared" si="83"/>
        <v>1</v>
      </c>
      <c r="AR21" s="18">
        <f>EST_FEC!$B148*$D$10/SUM($D$9:$D$13)</f>
        <v>9.0494154711344308</v>
      </c>
      <c r="AS21" s="18">
        <f t="shared" si="19"/>
        <v>9.0494154711344308</v>
      </c>
      <c r="AT21" s="18">
        <f t="shared" si="20"/>
        <v>9.0494154711344308</v>
      </c>
      <c r="AU21" s="21">
        <f t="shared" si="21"/>
        <v>1</v>
      </c>
      <c r="AV21" s="18">
        <f t="shared" si="84"/>
        <v>0.59390729654502172</v>
      </c>
      <c r="AW21" s="18">
        <f>EST_FEC!$B148*$D$11/SUM($D$9:$D$13)</f>
        <v>1801.9179978072934</v>
      </c>
      <c r="AX21" s="18">
        <f t="shared" si="22"/>
        <v>565.62472145708773</v>
      </c>
      <c r="AY21" s="18">
        <f t="shared" si="23"/>
        <v>1532.5099307048304</v>
      </c>
      <c r="AZ21" s="21">
        <f t="shared" si="24"/>
        <v>0.36908388658659208</v>
      </c>
      <c r="BA21" s="18">
        <f t="shared" si="85"/>
        <v>0.767181044531145</v>
      </c>
      <c r="BB21" s="18">
        <f>EST_FEC!$B148*$D$12/SUM($D$9:$D$13)</f>
        <v>569.42930294009193</v>
      </c>
      <c r="BC21" s="18">
        <f t="shared" si="25"/>
        <v>436.8553674162215</v>
      </c>
      <c r="BD21" s="18">
        <f t="shared" si="26"/>
        <v>569.42930294009193</v>
      </c>
      <c r="BE21" s="21">
        <f t="shared" si="27"/>
        <v>0.767181044531145</v>
      </c>
      <c r="BF21" s="18">
        <f t="shared" si="86"/>
        <v>0.99999825212236093</v>
      </c>
      <c r="BG21" s="18">
        <f>EST_FEC!$B148*$D$13/SUM($D$9:$D$13)</f>
        <v>2648.2420785676795</v>
      </c>
      <c r="BH21" s="18">
        <f t="shared" si="28"/>
        <v>2648.2374497645674</v>
      </c>
      <c r="BI21" s="18">
        <f t="shared" si="29"/>
        <v>2648.2420785676795</v>
      </c>
      <c r="BJ21" s="21">
        <f t="shared" si="30"/>
        <v>0.99999825212236082</v>
      </c>
      <c r="BK21" s="21">
        <f t="shared" si="31"/>
        <v>0.46411591226196791</v>
      </c>
      <c r="BL21" s="18">
        <f t="shared" si="32"/>
        <v>2286.4558587745414</v>
      </c>
      <c r="BM21" s="21">
        <f t="shared" si="33"/>
        <v>0.1460491284881793</v>
      </c>
      <c r="BO21" s="21">
        <f t="shared" si="87"/>
        <v>0.62834224598930477</v>
      </c>
      <c r="BP21" s="18">
        <f>EST_FEC!$B95*$D$14/SUM($D$14:$D$26)</f>
        <v>4.6888417810476533</v>
      </c>
      <c r="BQ21" s="18">
        <f t="shared" si="34"/>
        <v>2.3850169232601699</v>
      </c>
      <c r="BR21" s="18">
        <f t="shared" si="35"/>
        <v>4.5010851296420658</v>
      </c>
      <c r="BS21" s="21">
        <f t="shared" si="36"/>
        <v>0.52987598647125134</v>
      </c>
      <c r="BT21" s="21">
        <f t="shared" si="88"/>
        <v>0.64375269068918906</v>
      </c>
      <c r="BU21" s="18">
        <f>EST_FEC!$B95*$D$15/SUM($D$14:D$26)</f>
        <v>202.95986566534845</v>
      </c>
      <c r="BV21" s="18">
        <f t="shared" si="37"/>
        <v>88.566762651415132</v>
      </c>
      <c r="BW21" s="18">
        <f t="shared" si="38"/>
        <v>185.7109360445518</v>
      </c>
      <c r="BX21" s="21">
        <f t="shared" si="39"/>
        <v>0.47690655455082132</v>
      </c>
      <c r="BY21" s="21">
        <f t="shared" si="89"/>
        <v>0.75549473823108959</v>
      </c>
      <c r="BZ21" s="18">
        <f>EST_FEC!$B95*$D$16/SUM($D$14:D$26)</f>
        <v>4.6888417810476533</v>
      </c>
      <c r="CA21" s="18">
        <f t="shared" si="40"/>
        <v>2.7660904247821443</v>
      </c>
      <c r="CB21" s="18">
        <f t="shared" si="41"/>
        <v>4.2181853740957918</v>
      </c>
      <c r="CC21" s="21">
        <f t="shared" si="42"/>
        <v>0.65575364273199632</v>
      </c>
      <c r="CD21" s="21">
        <f t="shared" si="90"/>
        <v>0.5234821446810427</v>
      </c>
      <c r="CE21" s="18">
        <f>EST_FEC!$B95*$D$17/SUM($D$16:D$26)</f>
        <v>305.87951740886342</v>
      </c>
      <c r="CF21" s="18">
        <f t="shared" si="43"/>
        <v>118.55809947910976</v>
      </c>
      <c r="CG21" s="18">
        <f t="shared" si="44"/>
        <v>289.22983766324768</v>
      </c>
      <c r="CH21" s="21">
        <f t="shared" si="45"/>
        <v>0.40990964292262189</v>
      </c>
      <c r="CI21" s="21">
        <f t="shared" si="91"/>
        <v>0.74249877308849443</v>
      </c>
      <c r="CJ21" s="18">
        <f>EST_FEC!$B95*$D$18/SUM($D$16:D$26)</f>
        <v>67.973226090858532</v>
      </c>
      <c r="CK21" s="18">
        <f t="shared" si="46"/>
        <v>35.412241571608071</v>
      </c>
      <c r="CL21" s="18">
        <f t="shared" si="47"/>
        <v>60.550554048778267</v>
      </c>
      <c r="CM21" s="21">
        <f t="shared" si="48"/>
        <v>0.5848376142533841</v>
      </c>
      <c r="CN21" s="21">
        <f t="shared" si="92"/>
        <v>0.84992145703902189</v>
      </c>
      <c r="CO21" s="18">
        <f>EST_FEC!$B95*$D$19/SUM($D$16:$D$26)</f>
        <v>277.55733987100569</v>
      </c>
      <c r="CP21" s="18">
        <f t="shared" si="49"/>
        <v>186.3593207682039</v>
      </c>
      <c r="CQ21" s="18">
        <f t="shared" si="50"/>
        <v>253.70068436148057</v>
      </c>
      <c r="CR21" s="21">
        <f t="shared" si="51"/>
        <v>0.73456372905432676</v>
      </c>
      <c r="CS21" s="18">
        <f t="shared" si="93"/>
        <v>0.85939706581367536</v>
      </c>
      <c r="CT21" s="18">
        <f>EST_FEC!$B95*$D$20/SUM($D$16:D$26)</f>
        <v>25.489959784071953</v>
      </c>
      <c r="CU21" s="18">
        <f t="shared" si="52"/>
        <v>15.64250427176221</v>
      </c>
      <c r="CV21" s="18">
        <f t="shared" si="53"/>
        <v>22.817873877092183</v>
      </c>
      <c r="CW21" s="21">
        <f t="shared" si="54"/>
        <v>0.68553732727335182</v>
      </c>
      <c r="CX21" s="21">
        <f t="shared" si="94"/>
        <v>0.72997572399247701</v>
      </c>
      <c r="CY21" s="18">
        <f>EST_FEC!$B95*$D$21/SUM($D$14:$D$26)</f>
        <v>531.17879033868417</v>
      </c>
      <c r="CZ21" s="18">
        <f t="shared" si="55"/>
        <v>245.16602483522098</v>
      </c>
      <c r="DA21" s="18">
        <f t="shared" si="56"/>
        <v>471.88855882477321</v>
      </c>
      <c r="DB21" s="21">
        <f t="shared" si="57"/>
        <v>0.51954221023243474</v>
      </c>
      <c r="DC21" s="21">
        <f t="shared" si="95"/>
        <v>0.72737270115408958</v>
      </c>
      <c r="DD21" s="18">
        <f>EST_FEC!$B95*$D$22/SUM($D$14:$D$26)</f>
        <v>623.615956879338</v>
      </c>
      <c r="DE21" s="18">
        <f t="shared" si="58"/>
        <v>263.87800472335539</v>
      </c>
      <c r="DF21" s="18">
        <f t="shared" si="59"/>
        <v>511.13896027761331</v>
      </c>
      <c r="DG21" s="21">
        <f t="shared" si="60"/>
        <v>0.51625492327964229</v>
      </c>
      <c r="DH21" s="21">
        <f t="shared" si="96"/>
        <v>0.4882307349095012</v>
      </c>
      <c r="DI21" s="18">
        <f>EST_FEC!$B95*$D$23/SUM($D$14:$D$26)</f>
        <v>1379.1893181681601</v>
      </c>
      <c r="DJ21" s="18">
        <f t="shared" si="61"/>
        <v>358.2328352604394</v>
      </c>
      <c r="DK21" s="18">
        <f t="shared" si="62"/>
        <v>1296.9926353091982</v>
      </c>
      <c r="DL21" s="21">
        <f t="shared" si="63"/>
        <v>0.2762026749481411</v>
      </c>
      <c r="DM21" s="21">
        <f t="shared" si="97"/>
        <v>0.45114089630821907</v>
      </c>
      <c r="DN21" s="18">
        <f>EST_FEC!$B95*$D$24/SUM($D$14:$D$26)</f>
        <v>229.75324727133506</v>
      </c>
      <c r="DO21" s="18">
        <f t="shared" si="64"/>
        <v>44.74523699639338</v>
      </c>
      <c r="DP21" s="18">
        <f t="shared" si="65"/>
        <v>197.37279782882564</v>
      </c>
      <c r="DQ21" s="21">
        <f t="shared" si="66"/>
        <v>0.22670417346568356</v>
      </c>
      <c r="DR21" s="21">
        <f t="shared" si="98"/>
        <v>0.80487080487080487</v>
      </c>
      <c r="DS21" s="18">
        <f>EST_FEC!$B95*$D$25/SUM($D$14:$D$26)</f>
        <v>51.577259591524189</v>
      </c>
      <c r="DT21" s="18">
        <f t="shared" si="67"/>
        <v>27.926947750855255</v>
      </c>
      <c r="DU21" s="18">
        <f t="shared" si="68"/>
        <v>44.8531513230987</v>
      </c>
      <c r="DV21" s="21">
        <f t="shared" si="69"/>
        <v>0.6226306720275705</v>
      </c>
      <c r="DW21" s="21">
        <f t="shared" si="99"/>
        <v>0.75351661324141983</v>
      </c>
      <c r="DX21" s="18">
        <f>EST_FEC!$B95*$D$26/SUM($D$14:$D$26)</f>
        <v>178.8458222199605</v>
      </c>
      <c r="DY21" s="18">
        <f t="shared" si="70"/>
        <v>105.85266819165679</v>
      </c>
      <c r="DZ21" s="18">
        <f t="shared" si="71"/>
        <v>173.6881803227559</v>
      </c>
      <c r="EA21" s="21">
        <f t="shared" si="72"/>
        <v>0.6094408266294008</v>
      </c>
      <c r="EB21" s="21">
        <f t="shared" si="73"/>
        <v>0.42525870877318661</v>
      </c>
      <c r="EC21" s="18">
        <f t="shared" si="74"/>
        <v>366.73454646609252</v>
      </c>
      <c r="ED21" s="21">
        <f t="shared" si="75"/>
        <v>9.4436508364019081E-2</v>
      </c>
    </row>
    <row r="22" spans="1:134" ht="19.5" customHeight="1" thickBot="1" x14ac:dyDescent="0.4">
      <c r="A22" s="77"/>
      <c r="B22" s="31" t="s">
        <v>41</v>
      </c>
      <c r="C22" s="34">
        <v>282</v>
      </c>
      <c r="D22" s="34">
        <v>931</v>
      </c>
      <c r="E22" s="21">
        <f t="shared" si="0"/>
        <v>0.30290010741138562</v>
      </c>
      <c r="F22" s="21">
        <f t="shared" si="101"/>
        <v>0.5206794682422452</v>
      </c>
      <c r="G22" s="55">
        <v>0.85</v>
      </c>
      <c r="H22" s="23" t="s">
        <v>200</v>
      </c>
      <c r="I22" s="23" t="s">
        <v>182</v>
      </c>
      <c r="J22" s="56">
        <f>'Efficiency Assumptions'!G32</f>
        <v>2.5</v>
      </c>
      <c r="K22" s="84"/>
      <c r="L22" s="58">
        <f t="shared" si="76"/>
        <v>0.93406593406593408</v>
      </c>
      <c r="M22" s="47">
        <f t="shared" si="77"/>
        <v>2039</v>
      </c>
      <c r="N22" s="21">
        <f t="shared" si="78"/>
        <v>0.66656915823332641</v>
      </c>
      <c r="O22" s="18">
        <f>EST_FEC!B202*D$5/SUM(D$5:D$8)</f>
        <v>115.10711830306732</v>
      </c>
      <c r="P22" s="18">
        <f t="shared" si="1"/>
        <v>53.495378992410167</v>
      </c>
      <c r="Q22" s="18">
        <f t="shared" si="2"/>
        <v>98.190201036822856</v>
      </c>
      <c r="R22" s="21">
        <f t="shared" si="3"/>
        <v>0.54481382487798924</v>
      </c>
      <c r="S22" s="21">
        <f t="shared" si="79"/>
        <v>0.46338403079802232</v>
      </c>
      <c r="T22" s="18">
        <f>EST_FEC!B202*D$6/SUM(D$5:D$8)</f>
        <v>10316.679098463703</v>
      </c>
      <c r="U22" s="18">
        <f t="shared" si="4"/>
        <v>1922.6158637023195</v>
      </c>
      <c r="V22" s="18">
        <f t="shared" si="5"/>
        <v>7487.9464098714689</v>
      </c>
      <c r="W22" s="21">
        <f t="shared" si="6"/>
        <v>0.25676143477305169</v>
      </c>
      <c r="X22" s="21">
        <f t="shared" si="80"/>
        <v>0</v>
      </c>
      <c r="Y22" s="18">
        <f>EST_FEC!$B202*$D$7/SUM($D$5:$D$8)</f>
        <v>19.304728983640608</v>
      </c>
      <c r="Z22" s="18">
        <f t="shared" si="7"/>
        <v>0</v>
      </c>
      <c r="AA22" s="18">
        <f t="shared" si="8"/>
        <v>19.304728983640608</v>
      </c>
      <c r="AB22" s="21">
        <f t="shared" si="9"/>
        <v>0</v>
      </c>
      <c r="AC22" s="21">
        <f t="shared" si="81"/>
        <v>0</v>
      </c>
      <c r="AD22" s="18">
        <f>EST_FEC!$B202*$D$8/SUM($D$5:$D$8)</f>
        <v>63.138515020746624</v>
      </c>
      <c r="AE22" s="18">
        <f t="shared" si="10"/>
        <v>0</v>
      </c>
      <c r="AF22" s="18">
        <f t="shared" si="11"/>
        <v>63.138515020746624</v>
      </c>
      <c r="AG22" s="21">
        <f t="shared" si="12"/>
        <v>0</v>
      </c>
      <c r="AH22" s="21">
        <f t="shared" si="13"/>
        <v>0.25768933493321905</v>
      </c>
      <c r="AI22" s="18">
        <f t="shared" si="14"/>
        <v>2845.649605858478</v>
      </c>
      <c r="AJ22" s="21">
        <f t="shared" si="15"/>
        <v>0.27064747031398401</v>
      </c>
      <c r="AL22" s="21">
        <f t="shared" si="82"/>
        <v>0.55225297777270899</v>
      </c>
      <c r="AM22" s="18">
        <f>EST_FEC!B149*$D$9/SUM($D$9:$D$13)</f>
        <v>10658.039991732672</v>
      </c>
      <c r="AN22" s="18">
        <f t="shared" si="16"/>
        <v>2753.256033038494</v>
      </c>
      <c r="AO22" s="18">
        <f t="shared" si="17"/>
        <v>8333.8605740685925</v>
      </c>
      <c r="AP22" s="21">
        <f t="shared" si="18"/>
        <v>0.33036982183328678</v>
      </c>
      <c r="AQ22" s="21">
        <f t="shared" si="83"/>
        <v>1</v>
      </c>
      <c r="AR22" s="18">
        <f>EST_FEC!$B149*$D$10/SUM($D$9:$D$13)</f>
        <v>9.0760612520426704</v>
      </c>
      <c r="AS22" s="18">
        <f t="shared" si="19"/>
        <v>9.0760612520426704</v>
      </c>
      <c r="AT22" s="18">
        <f t="shared" si="20"/>
        <v>9.0760612520426704</v>
      </c>
      <c r="AU22" s="21">
        <f t="shared" si="21"/>
        <v>1</v>
      </c>
      <c r="AV22" s="18">
        <f t="shared" si="84"/>
        <v>0.62198494023874462</v>
      </c>
      <c r="AW22" s="18">
        <f>EST_FEC!$B149*$D$11/SUM($D$9:$D$13)</f>
        <v>1807.2237009587666</v>
      </c>
      <c r="AX22" s="18">
        <f t="shared" si="22"/>
        <v>594.10947916578129</v>
      </c>
      <c r="AY22" s="18">
        <f t="shared" si="23"/>
        <v>1496.7934339628891</v>
      </c>
      <c r="AZ22" s="21">
        <f t="shared" si="24"/>
        <v>0.39692148942210781</v>
      </c>
      <c r="BA22" s="18">
        <f t="shared" si="85"/>
        <v>0.80184430254427119</v>
      </c>
      <c r="BB22" s="18">
        <f>EST_FEC!$B149*$D$12/SUM($D$9:$D$13)</f>
        <v>571.10597349381692</v>
      </c>
      <c r="BC22" s="18">
        <f t="shared" si="25"/>
        <v>457.93807099501663</v>
      </c>
      <c r="BD22" s="18">
        <f t="shared" si="26"/>
        <v>571.10597349381692</v>
      </c>
      <c r="BE22" s="21">
        <f t="shared" si="27"/>
        <v>0.80184430254427119</v>
      </c>
      <c r="BF22" s="18">
        <f t="shared" si="86"/>
        <v>0.999998512355182</v>
      </c>
      <c r="BG22" s="18">
        <f>EST_FEC!$B149*$D$13/SUM($D$9:$D$13)</f>
        <v>2656.0397621244333</v>
      </c>
      <c r="BH22" s="18">
        <f t="shared" si="28"/>
        <v>2656.0358108806449</v>
      </c>
      <c r="BI22" s="18">
        <f t="shared" si="29"/>
        <v>2656.0397621244333</v>
      </c>
      <c r="BJ22" s="21">
        <f t="shared" si="30"/>
        <v>0.999998512355182</v>
      </c>
      <c r="BK22" s="21">
        <f t="shared" si="31"/>
        <v>0.49517693073234337</v>
      </c>
      <c r="BL22" s="18">
        <f t="shared" si="32"/>
        <v>2634.6096846599576</v>
      </c>
      <c r="BM22" s="21">
        <f t="shared" si="33"/>
        <v>0.16779365789379819</v>
      </c>
      <c r="BO22" s="21">
        <f t="shared" si="87"/>
        <v>0.64307151402155815</v>
      </c>
      <c r="BP22" s="18">
        <f>EST_FEC!$B96*$D$14/SUM($D$14:$D$26)</f>
        <v>4.6836361344333266</v>
      </c>
      <c r="BQ22" s="18">
        <f t="shared" si="34"/>
        <v>2.4382152696016188</v>
      </c>
      <c r="BR22" s="18">
        <f t="shared" si="35"/>
        <v>4.4681648141539441</v>
      </c>
      <c r="BS22" s="21">
        <f t="shared" si="36"/>
        <v>0.54568606374545736</v>
      </c>
      <c r="BT22" s="21">
        <f t="shared" si="88"/>
        <v>0.66276041879617731</v>
      </c>
      <c r="BU22" s="18">
        <f>EST_FEC!$B96*$D$15/SUM($D$14:D$26)</f>
        <v>202.73453553332828</v>
      </c>
      <c r="BV22" s="18">
        <f t="shared" si="37"/>
        <v>91.080592356876735</v>
      </c>
      <c r="BW22" s="18">
        <f t="shared" si="38"/>
        <v>182.93949971981368</v>
      </c>
      <c r="BX22" s="21">
        <f t="shared" si="39"/>
        <v>0.49787275299415307</v>
      </c>
      <c r="BY22" s="21">
        <f t="shared" si="89"/>
        <v>0.78626101031856654</v>
      </c>
      <c r="BZ22" s="18">
        <f>EST_FEC!$B96*$D$16/SUM($D$14:D$26)</f>
        <v>4.6836361344333266</v>
      </c>
      <c r="CA22" s="18">
        <f t="shared" si="40"/>
        <v>2.8755388471246008</v>
      </c>
      <c r="CB22" s="18">
        <f t="shared" si="41"/>
        <v>4.1435063619609904</v>
      </c>
      <c r="CC22" s="21">
        <f t="shared" si="42"/>
        <v>0.69398683045914267</v>
      </c>
      <c r="CD22" s="21">
        <f t="shared" si="90"/>
        <v>0.54230656853295633</v>
      </c>
      <c r="CE22" s="18">
        <f>EST_FEC!$B96*$D$17/SUM($D$16:D$26)</f>
        <v>305.53992380589142</v>
      </c>
      <c r="CF22" s="18">
        <f t="shared" si="43"/>
        <v>122.68509123078042</v>
      </c>
      <c r="CG22" s="18">
        <f t="shared" si="44"/>
        <v>286.43259285298143</v>
      </c>
      <c r="CH22" s="21">
        <f t="shared" si="45"/>
        <v>0.42832098822549691</v>
      </c>
      <c r="CI22" s="21">
        <f t="shared" si="91"/>
        <v>0.76463193815963937</v>
      </c>
      <c r="CJ22" s="18">
        <f>EST_FEC!$B96*$D$18/SUM($D$16:D$26)</f>
        <v>67.897760845753666</v>
      </c>
      <c r="CK22" s="18">
        <f t="shared" si="46"/>
        <v>36.427358656301962</v>
      </c>
      <c r="CL22" s="18">
        <f t="shared" si="47"/>
        <v>59.379431758956301</v>
      </c>
      <c r="CM22" s="21">
        <f t="shared" si="48"/>
        <v>0.6134676196325769</v>
      </c>
      <c r="CN22" s="21">
        <f t="shared" si="92"/>
        <v>0.86540212402504124</v>
      </c>
      <c r="CO22" s="18">
        <f>EST_FEC!$B96*$D$19/SUM($D$16:$D$26)</f>
        <v>277.24919012016079</v>
      </c>
      <c r="CP22" s="18">
        <f t="shared" si="49"/>
        <v>189.54304436162835</v>
      </c>
      <c r="CQ22" s="18">
        <f t="shared" si="50"/>
        <v>249.87106518234677</v>
      </c>
      <c r="CR22" s="21">
        <f t="shared" si="51"/>
        <v>0.75856339838030773</v>
      </c>
      <c r="CS22" s="18">
        <f t="shared" si="93"/>
        <v>0.87151463513373884</v>
      </c>
      <c r="CT22" s="18">
        <f>EST_FEC!$B96*$D$20/SUM($D$16:D$26)</f>
        <v>25.461660317157619</v>
      </c>
      <c r="CU22" s="18">
        <f t="shared" si="52"/>
        <v>15.84545337449139</v>
      </c>
      <c r="CV22" s="18">
        <f t="shared" si="53"/>
        <v>22.395149096561116</v>
      </c>
      <c r="CW22" s="21">
        <f t="shared" si="54"/>
        <v>0.70753953484170085</v>
      </c>
      <c r="CX22" s="21">
        <f t="shared" si="94"/>
        <v>0.7474980220127192</v>
      </c>
      <c r="CY22" s="18">
        <f>EST_FEC!$B96*$D$21/SUM($D$14:$D$26)</f>
        <v>530.58906494366113</v>
      </c>
      <c r="CZ22" s="18">
        <f t="shared" si="55"/>
        <v>250.77225505756391</v>
      </c>
      <c r="DA22" s="18">
        <f t="shared" si="56"/>
        <v>462.54703091539329</v>
      </c>
      <c r="DB22" s="21">
        <f t="shared" si="57"/>
        <v>0.54215515028013195</v>
      </c>
      <c r="DC22" s="21">
        <f t="shared" si="95"/>
        <v>0.75814623008588189</v>
      </c>
      <c r="DD22" s="18">
        <f>EST_FEC!$B96*$D$22/SUM($D$14:$D$26)</f>
        <v>622.92360587963253</v>
      </c>
      <c r="DE22" s="18">
        <f t="shared" si="58"/>
        <v>274.73674172419561</v>
      </c>
      <c r="DF22" s="18">
        <f t="shared" si="59"/>
        <v>493.84393398838176</v>
      </c>
      <c r="DG22" s="21">
        <f t="shared" si="60"/>
        <v>0.55632300574265858</v>
      </c>
      <c r="DH22" s="21">
        <f t="shared" si="96"/>
        <v>0.49934994153968892</v>
      </c>
      <c r="DI22" s="18">
        <f>EST_FEC!$B96*$D$23/SUM($D$14:$D$26)</f>
        <v>1377.6581143997457</v>
      </c>
      <c r="DJ22" s="18">
        <f t="shared" si="61"/>
        <v>365.98463073386557</v>
      </c>
      <c r="DK22" s="18">
        <f t="shared" si="62"/>
        <v>1283.328418777154</v>
      </c>
      <c r="DL22" s="21">
        <f t="shared" si="63"/>
        <v>0.28518392126202707</v>
      </c>
      <c r="DM22" s="21">
        <f t="shared" si="97"/>
        <v>0.47808884860319728</v>
      </c>
      <c r="DN22" s="18">
        <f>EST_FEC!$B96*$D$24/SUM($D$14:$D$26)</f>
        <v>229.49817058723303</v>
      </c>
      <c r="DO22" s="18">
        <f t="shared" si="64"/>
        <v>47.365355171290553</v>
      </c>
      <c r="DP22" s="18">
        <f t="shared" si="65"/>
        <v>192.33805859979879</v>
      </c>
      <c r="DQ22" s="21">
        <f t="shared" si="66"/>
        <v>0.2462609611228555</v>
      </c>
      <c r="DR22" s="21">
        <f t="shared" si="98"/>
        <v>0.82410602602499061</v>
      </c>
      <c r="DS22" s="18">
        <f>EST_FEC!$B96*$D$25/SUM($D$14:$D$26)</f>
        <v>51.519997478766598</v>
      </c>
      <c r="DT22" s="18">
        <f t="shared" si="67"/>
        <v>28.562614439502244</v>
      </c>
      <c r="DU22" s="18">
        <f t="shared" si="68"/>
        <v>43.803346827763178</v>
      </c>
      <c r="DV22" s="21">
        <f t="shared" si="69"/>
        <v>0.65206465962091409</v>
      </c>
      <c r="DW22" s="21">
        <f t="shared" si="99"/>
        <v>0.75921591232921914</v>
      </c>
      <c r="DX22" s="18">
        <f>EST_FEC!$B96*$D$26/SUM($D$14:$D$26)</f>
        <v>178.64726398481406</v>
      </c>
      <c r="DY22" s="18">
        <f t="shared" si="70"/>
        <v>106.53488691212374</v>
      </c>
      <c r="DZ22" s="18">
        <f t="shared" si="71"/>
        <v>172.72830505153888</v>
      </c>
      <c r="EA22" s="21">
        <f t="shared" si="72"/>
        <v>0.61677723798850292</v>
      </c>
      <c r="EB22" s="21">
        <f t="shared" si="73"/>
        <v>0.443827299051129</v>
      </c>
      <c r="EC22" s="18">
        <f t="shared" si="74"/>
        <v>420.86805621820713</v>
      </c>
      <c r="ED22" s="21">
        <f t="shared" si="75"/>
        <v>0.10849669108706457</v>
      </c>
    </row>
    <row r="23" spans="1:134" ht="19.5" customHeight="1" thickBot="1" x14ac:dyDescent="0.4">
      <c r="A23" s="77"/>
      <c r="B23" s="31" t="s">
        <v>42</v>
      </c>
      <c r="C23" s="34">
        <v>453</v>
      </c>
      <c r="D23" s="34">
        <v>2059</v>
      </c>
      <c r="E23" s="21">
        <f t="shared" si="0"/>
        <v>0.22000971345313258</v>
      </c>
      <c r="F23" s="21">
        <f t="shared" si="101"/>
        <v>0.41354756253423408</v>
      </c>
      <c r="G23" s="55">
        <v>0.34</v>
      </c>
      <c r="H23" s="23" t="s">
        <v>200</v>
      </c>
      <c r="I23" s="23" t="s">
        <v>184</v>
      </c>
      <c r="J23" s="56">
        <f>'Efficiency Assumptions'!G33</f>
        <v>2.5</v>
      </c>
      <c r="K23" s="84"/>
      <c r="L23" s="58">
        <f t="shared" si="76"/>
        <v>0.56291390728476831</v>
      </c>
      <c r="M23" s="47">
        <f t="shared" si="77"/>
        <v>2040</v>
      </c>
      <c r="N23" s="21">
        <f t="shared" si="78"/>
        <v>0.70766016291841638</v>
      </c>
      <c r="O23" s="18">
        <f>EST_FEC!B203*D$5/SUM(D$5:D$8)</f>
        <v>115.59877226538568</v>
      </c>
      <c r="P23" s="18">
        <f t="shared" si="1"/>
        <v>57.035708612222983</v>
      </c>
      <c r="Q23" s="18">
        <f t="shared" si="2"/>
        <v>96.389853871480142</v>
      </c>
      <c r="R23" s="21">
        <f t="shared" si="3"/>
        <v>0.59171900694310242</v>
      </c>
      <c r="S23" s="21">
        <f t="shared" si="79"/>
        <v>0.51971413822460422</v>
      </c>
      <c r="T23" s="18">
        <f>EST_FEC!B203*D$6/SUM(D$5:D$8)</f>
        <v>10360.744454555512</v>
      </c>
      <c r="U23" s="18">
        <f t="shared" si="4"/>
        <v>2165.5440883027004</v>
      </c>
      <c r="V23" s="18">
        <f t="shared" si="5"/>
        <v>7167.9417612896668</v>
      </c>
      <c r="W23" s="21">
        <f t="shared" si="6"/>
        <v>0.30211519016486438</v>
      </c>
      <c r="X23" s="21">
        <f t="shared" si="80"/>
        <v>0</v>
      </c>
      <c r="Y23" s="18">
        <f>EST_FEC!$B203*$D$7/SUM($D$5:$D$8)</f>
        <v>19.387184757325247</v>
      </c>
      <c r="Z23" s="18">
        <f t="shared" si="7"/>
        <v>0</v>
      </c>
      <c r="AA23" s="18">
        <f t="shared" si="8"/>
        <v>19.387184757325247</v>
      </c>
      <c r="AB23" s="21">
        <f t="shared" si="9"/>
        <v>0</v>
      </c>
      <c r="AC23" s="21">
        <f t="shared" si="81"/>
        <v>0</v>
      </c>
      <c r="AD23" s="18">
        <f>EST_FEC!$B203*$D$8/SUM($D$5:$D$8)</f>
        <v>63.408196874853289</v>
      </c>
      <c r="AE23" s="18">
        <f t="shared" si="10"/>
        <v>0</v>
      </c>
      <c r="AF23" s="18">
        <f t="shared" si="11"/>
        <v>63.408196874853289</v>
      </c>
      <c r="AG23" s="21">
        <f t="shared" si="12"/>
        <v>0</v>
      </c>
      <c r="AH23" s="21">
        <f t="shared" si="13"/>
        <v>0.30251005568366718</v>
      </c>
      <c r="AI23" s="18">
        <f t="shared" si="14"/>
        <v>3212.011611659751</v>
      </c>
      <c r="AJ23" s="21">
        <f t="shared" si="15"/>
        <v>0.30419257960004309</v>
      </c>
      <c r="AL23" s="21">
        <f t="shared" si="82"/>
        <v>0.59078194591891553</v>
      </c>
      <c r="AM23" s="18">
        <f>EST_FEC!B150*$D$9/SUM($D$9:$D$13)</f>
        <v>10689.849049240123</v>
      </c>
      <c r="AN23" s="18">
        <f t="shared" si="16"/>
        <v>2954.1325323345968</v>
      </c>
      <c r="AO23" s="18">
        <f t="shared" si="17"/>
        <v>8069.7440313423413</v>
      </c>
      <c r="AP23" s="21">
        <f t="shared" si="18"/>
        <v>0.36607512219234534</v>
      </c>
      <c r="AQ23" s="21">
        <f t="shared" si="83"/>
        <v>1</v>
      </c>
      <c r="AR23" s="18">
        <f>EST_FEC!$B150*$D$10/SUM($D$9:$D$13)</f>
        <v>9.103148873643951</v>
      </c>
      <c r="AS23" s="18">
        <f t="shared" si="19"/>
        <v>9.103148873643951</v>
      </c>
      <c r="AT23" s="18">
        <f t="shared" si="20"/>
        <v>9.103148873643951</v>
      </c>
      <c r="AU23" s="21">
        <f t="shared" si="21"/>
        <v>1</v>
      </c>
      <c r="AV23" s="18">
        <f t="shared" si="84"/>
        <v>0.64884479789654992</v>
      </c>
      <c r="AW23" s="18">
        <f>EST_FEC!$B150*$D$11/SUM($D$9:$D$13)</f>
        <v>1812.6173833503901</v>
      </c>
      <c r="AX23" s="18">
        <f t="shared" si="22"/>
        <v>621.61525851355168</v>
      </c>
      <c r="AY23" s="18">
        <f t="shared" si="23"/>
        <v>1462.6616552849916</v>
      </c>
      <c r="AZ23" s="21">
        <f t="shared" si="24"/>
        <v>0.4249890986527799</v>
      </c>
      <c r="BA23" s="18">
        <f t="shared" si="85"/>
        <v>0.83500414267702772</v>
      </c>
      <c r="BB23" s="18">
        <f>EST_FEC!$B150*$D$12/SUM($D$9:$D$13)</f>
        <v>572.81044662094018</v>
      </c>
      <c r="BC23" s="18">
        <f t="shared" si="25"/>
        <v>478.29909589716351</v>
      </c>
      <c r="BD23" s="18">
        <f t="shared" si="26"/>
        <v>572.81044662094018</v>
      </c>
      <c r="BE23" s="21">
        <f t="shared" si="27"/>
        <v>0.83500414267702772</v>
      </c>
      <c r="BF23" s="18">
        <f t="shared" si="86"/>
        <v>0.99999876130116228</v>
      </c>
      <c r="BG23" s="18">
        <f>EST_FEC!$B150*$D$13/SUM($D$9:$D$13)</f>
        <v>2663.9667469735264</v>
      </c>
      <c r="BH23" s="18">
        <f t="shared" si="28"/>
        <v>2663.9634471210134</v>
      </c>
      <c r="BI23" s="18">
        <f t="shared" si="29"/>
        <v>2663.9667469735264</v>
      </c>
      <c r="BJ23" s="21">
        <f t="shared" si="30"/>
        <v>0.99999876130116239</v>
      </c>
      <c r="BK23" s="21">
        <f t="shared" si="31"/>
        <v>0.52644881069516736</v>
      </c>
      <c r="BL23" s="18">
        <f t="shared" si="32"/>
        <v>2970.060745963181</v>
      </c>
      <c r="BM23" s="21">
        <f t="shared" si="33"/>
        <v>0.18859508165434874</v>
      </c>
      <c r="BO23" s="21">
        <f t="shared" si="87"/>
        <v>0.65716194294307173</v>
      </c>
      <c r="BP23" s="18">
        <f>EST_FEC!$B97*$D$14/SUM($D$14:$D$26)</f>
        <v>4.6786230302290788</v>
      </c>
      <c r="BQ23" s="18">
        <f t="shared" si="34"/>
        <v>2.488972429254297</v>
      </c>
      <c r="BR23" s="18">
        <f t="shared" si="35"/>
        <v>4.4366988935081615</v>
      </c>
      <c r="BS23" s="21">
        <f t="shared" si="36"/>
        <v>0.56099647260177954</v>
      </c>
      <c r="BT23" s="21">
        <f t="shared" si="88"/>
        <v>0.68094374204513319</v>
      </c>
      <c r="BU23" s="18">
        <f>EST_FEC!$B97*$D$15/SUM($D$14:D$26)</f>
        <v>202.51753973705868</v>
      </c>
      <c r="BV23" s="18">
        <f t="shared" si="37"/>
        <v>93.47929364980493</v>
      </c>
      <c r="BW23" s="18">
        <f t="shared" si="38"/>
        <v>180.29232227268875</v>
      </c>
      <c r="BX23" s="21">
        <f t="shared" si="39"/>
        <v>0.51848737911545262</v>
      </c>
      <c r="BY23" s="21">
        <f t="shared" si="89"/>
        <v>0.81569288494256442</v>
      </c>
      <c r="BZ23" s="18">
        <f>EST_FEC!$B97*$D$16/SUM($D$14:D$26)</f>
        <v>4.6786230302290788</v>
      </c>
      <c r="CA23" s="18">
        <f t="shared" si="40"/>
        <v>2.9799850095957106</v>
      </c>
      <c r="CB23" s="18">
        <f t="shared" si="41"/>
        <v>4.0721830234884751</v>
      </c>
      <c r="CC23" s="21">
        <f t="shared" si="42"/>
        <v>0.73179053898291568</v>
      </c>
      <c r="CD23" s="21">
        <f t="shared" si="90"/>
        <v>0.56031453781513763</v>
      </c>
      <c r="CE23" s="18">
        <f>EST_FEC!$B97*$D$17/SUM($D$16:D$26)</f>
        <v>305.21289082710473</v>
      </c>
      <c r="CF23" s="18">
        <f t="shared" si="43"/>
        <v>126.62332764368408</v>
      </c>
      <c r="CG23" s="18">
        <f t="shared" si="44"/>
        <v>283.75980584191973</v>
      </c>
      <c r="CH23" s="21">
        <f t="shared" si="45"/>
        <v>0.44623419186516111</v>
      </c>
      <c r="CI23" s="21">
        <f t="shared" si="91"/>
        <v>0.78580514164539228</v>
      </c>
      <c r="CJ23" s="18">
        <f>EST_FEC!$B97*$D$18/SUM($D$16:D$26)</f>
        <v>67.825086850467713</v>
      </c>
      <c r="CK23" s="18">
        <f t="shared" si="46"/>
        <v>37.395988707926676</v>
      </c>
      <c r="CL23" s="18">
        <f t="shared" si="47"/>
        <v>58.26098612487651</v>
      </c>
      <c r="CM23" s="21">
        <f t="shared" si="48"/>
        <v>0.64187016381377704</v>
      </c>
      <c r="CN23" s="21">
        <f t="shared" si="92"/>
        <v>0.88021136215869999</v>
      </c>
      <c r="CO23" s="18">
        <f>EST_FEC!$B97*$D$19/SUM($D$16:$D$26)</f>
        <v>276.95243797274321</v>
      </c>
      <c r="CP23" s="18">
        <f t="shared" si="49"/>
        <v>192.58026131978852</v>
      </c>
      <c r="CQ23" s="18">
        <f t="shared" si="50"/>
        <v>246.2131765618507</v>
      </c>
      <c r="CR23" s="21">
        <f t="shared" si="51"/>
        <v>0.78216878563934544</v>
      </c>
      <c r="CS23" s="18">
        <f t="shared" si="93"/>
        <v>0.88310664016969764</v>
      </c>
      <c r="CT23" s="18">
        <f>EST_FEC!$B97*$D$20/SUM($D$16:D$26)</f>
        <v>25.434407568925394</v>
      </c>
      <c r="CU23" s="18">
        <f t="shared" si="52"/>
        <v>16.039027867582238</v>
      </c>
      <c r="CV23" s="18">
        <f t="shared" si="53"/>
        <v>21.991429269883515</v>
      </c>
      <c r="CW23" s="21">
        <f t="shared" si="54"/>
        <v>0.72933085297676037</v>
      </c>
      <c r="CX23" s="21">
        <f t="shared" si="94"/>
        <v>0.76426034137951737</v>
      </c>
      <c r="CY23" s="18">
        <f>EST_FEC!$B97*$D$21/SUM($D$14:$D$26)</f>
        <v>530.02115185309424</v>
      </c>
      <c r="CZ23" s="18">
        <f t="shared" si="55"/>
        <v>256.12128251177859</v>
      </c>
      <c r="DA23" s="18">
        <f t="shared" si="56"/>
        <v>453.62578600263919</v>
      </c>
      <c r="DB23" s="21">
        <f t="shared" si="57"/>
        <v>0.5646091787874874</v>
      </c>
      <c r="DC23" s="21">
        <f t="shared" si="95"/>
        <v>0.7875850468097042</v>
      </c>
      <c r="DD23" s="18">
        <f>EST_FEC!$B97*$D$22/SUM($D$14:$D$26)</f>
        <v>622.25686302046745</v>
      </c>
      <c r="DE23" s="18">
        <f t="shared" si="58"/>
        <v>285.0992874751301</v>
      </c>
      <c r="DF23" s="18">
        <f t="shared" si="59"/>
        <v>477.33043777732962</v>
      </c>
      <c r="DG23" s="21">
        <f t="shared" si="60"/>
        <v>0.59727866675061347</v>
      </c>
      <c r="DH23" s="21">
        <f t="shared" si="96"/>
        <v>0.50998688496031275</v>
      </c>
      <c r="DI23" s="18">
        <f>EST_FEC!$B97*$D$23/SUM($D$14:$D$26)</f>
        <v>1376.1835456059532</v>
      </c>
      <c r="DJ23" s="18">
        <f t="shared" si="61"/>
        <v>373.38060803252898</v>
      </c>
      <c r="DK23" s="18">
        <f t="shared" si="62"/>
        <v>1270.2732548486824</v>
      </c>
      <c r="DL23" s="21">
        <f t="shared" si="63"/>
        <v>0.29393723484873879</v>
      </c>
      <c r="DM23" s="21">
        <f t="shared" si="97"/>
        <v>0.50386801193712971</v>
      </c>
      <c r="DN23" s="18">
        <f>EST_FEC!$B97*$D$24/SUM($D$14:$D$26)</f>
        <v>229.25252848122489</v>
      </c>
      <c r="DO23" s="18">
        <f t="shared" si="64"/>
        <v>49.865924907281276</v>
      </c>
      <c r="DP23" s="18">
        <f t="shared" si="65"/>
        <v>187.53037259822293</v>
      </c>
      <c r="DQ23" s="21">
        <f t="shared" si="66"/>
        <v>0.26590852573048113</v>
      </c>
      <c r="DR23" s="21">
        <f t="shared" si="98"/>
        <v>0.84250697547265874</v>
      </c>
      <c r="DS23" s="18">
        <f>EST_FEC!$B97*$D$25/SUM($D$14:$D$26)</f>
        <v>51.464853332519866</v>
      </c>
      <c r="DT23" s="18">
        <f t="shared" si="67"/>
        <v>29.169116785455202</v>
      </c>
      <c r="DU23" s="18">
        <f t="shared" si="68"/>
        <v>42.800850881055162</v>
      </c>
      <c r="DV23" s="21">
        <f t="shared" si="69"/>
        <v>0.6815078715728583</v>
      </c>
      <c r="DW23" s="21">
        <f t="shared" si="99"/>
        <v>0.76466802091487562</v>
      </c>
      <c r="DX23" s="18">
        <f>EST_FEC!$B97*$D$26/SUM($D$14:$D$26)</f>
        <v>178.45604986730913</v>
      </c>
      <c r="DY23" s="18">
        <f t="shared" si="70"/>
        <v>107.18509116918293</v>
      </c>
      <c r="DZ23" s="18">
        <f t="shared" si="71"/>
        <v>171.81043676036529</v>
      </c>
      <c r="EA23" s="21">
        <f t="shared" si="72"/>
        <v>0.62385669456553816</v>
      </c>
      <c r="EB23" s="21">
        <f t="shared" si="73"/>
        <v>0.4621470760538301</v>
      </c>
      <c r="EC23" s="18">
        <f t="shared" si="74"/>
        <v>472.53686032081578</v>
      </c>
      <c r="ED23" s="21">
        <f t="shared" si="75"/>
        <v>0.12194705432634767</v>
      </c>
    </row>
    <row r="24" spans="1:134" ht="19.5" customHeight="1" thickBot="1" x14ac:dyDescent="0.4">
      <c r="A24" s="77"/>
      <c r="B24" s="31" t="s">
        <v>43</v>
      </c>
      <c r="C24" s="34">
        <v>40</v>
      </c>
      <c r="D24" s="34">
        <v>343</v>
      </c>
      <c r="E24" s="21">
        <f t="shared" si="0"/>
        <v>0.11661807580174927</v>
      </c>
      <c r="F24" s="21">
        <f t="shared" si="101"/>
        <v>0.27014250016883906</v>
      </c>
      <c r="G24" s="55">
        <v>0.38</v>
      </c>
      <c r="H24" s="23" t="s">
        <v>200</v>
      </c>
      <c r="I24" s="23" t="s">
        <v>182</v>
      </c>
      <c r="J24" s="56">
        <f>'Efficiency Assumptions'!G34</f>
        <v>2.8037383177570097</v>
      </c>
      <c r="K24" s="84"/>
      <c r="L24" s="58">
        <f t="shared" si="76"/>
        <v>0.63213929244759903</v>
      </c>
      <c r="M24" s="47">
        <f t="shared" si="77"/>
        <v>2041</v>
      </c>
      <c r="N24" s="21">
        <f t="shared" si="78"/>
        <v>0.74458851849734353</v>
      </c>
      <c r="O24" s="18">
        <f>EST_FEC!B204*D$5/SUM(D$5:D$8)</f>
        <v>116.09526258120773</v>
      </c>
      <c r="P24" s="18">
        <f t="shared" si="1"/>
        <v>60.269793738899992</v>
      </c>
      <c r="Q24" s="18">
        <f t="shared" si="2"/>
        <v>94.800397853948596</v>
      </c>
      <c r="R24" s="21">
        <f t="shared" si="3"/>
        <v>0.63575464980382101</v>
      </c>
      <c r="S24" s="21">
        <f t="shared" si="79"/>
        <v>0.57136105657637815</v>
      </c>
      <c r="T24" s="18">
        <f>EST_FEC!B204*D$6/SUM(D$5:D$8)</f>
        <v>10405.243277385436</v>
      </c>
      <c r="U24" s="18">
        <f t="shared" si="4"/>
        <v>2390.9715636039409</v>
      </c>
      <c r="V24" s="18">
        <f t="shared" si="5"/>
        <v>6874.6175358010723</v>
      </c>
      <c r="W24" s="21">
        <f t="shared" si="6"/>
        <v>0.34779703032967785</v>
      </c>
      <c r="X24" s="21">
        <f t="shared" si="80"/>
        <v>0</v>
      </c>
      <c r="Y24" s="18">
        <f>EST_FEC!$B204*$D$7/SUM($D$5:$D$8)</f>
        <v>19.470451640653099</v>
      </c>
      <c r="Z24" s="18">
        <f t="shared" si="7"/>
        <v>0</v>
      </c>
      <c r="AA24" s="18">
        <f t="shared" si="8"/>
        <v>19.470451640653099</v>
      </c>
      <c r="AB24" s="21">
        <f t="shared" si="9"/>
        <v>0</v>
      </c>
      <c r="AC24" s="21">
        <f t="shared" si="81"/>
        <v>0</v>
      </c>
      <c r="AD24" s="18">
        <f>EST_FEC!$B204*$D$8/SUM($D$5:$D$8)</f>
        <v>63.680531563839693</v>
      </c>
      <c r="AE24" s="18">
        <f t="shared" si="10"/>
        <v>0</v>
      </c>
      <c r="AF24" s="18">
        <f t="shared" si="11"/>
        <v>63.680531563839693</v>
      </c>
      <c r="AG24" s="21">
        <f t="shared" si="12"/>
        <v>0</v>
      </c>
      <c r="AH24" s="21">
        <f t="shared" si="13"/>
        <v>0.34756716116350567</v>
      </c>
      <c r="AI24" s="18">
        <f t="shared" si="14"/>
        <v>3551.9206063116235</v>
      </c>
      <c r="AJ24" s="21">
        <f t="shared" si="15"/>
        <v>0.3349449870784037</v>
      </c>
      <c r="AL24" s="21">
        <f t="shared" si="82"/>
        <v>0.62610768135477957</v>
      </c>
      <c r="AM24" s="18">
        <f>EST_FEC!B151*$D$9/SUM($D$9:$D$13)</f>
        <v>10722.005758938656</v>
      </c>
      <c r="AN24" s="18">
        <f t="shared" si="16"/>
        <v>3140.1923831825984</v>
      </c>
      <c r="AO24" s="18">
        <f t="shared" si="17"/>
        <v>7828.2590133494868</v>
      </c>
      <c r="AP24" s="21">
        <f t="shared" si="18"/>
        <v>0.40113547314002329</v>
      </c>
      <c r="AQ24" s="21">
        <f t="shared" si="83"/>
        <v>1</v>
      </c>
      <c r="AR24" s="18">
        <f>EST_FEC!$B151*$D$10/SUM($D$9:$D$13)</f>
        <v>9.1305325452303236</v>
      </c>
      <c r="AS24" s="18">
        <f t="shared" si="19"/>
        <v>9.1305325452303236</v>
      </c>
      <c r="AT24" s="18">
        <f t="shared" si="20"/>
        <v>9.1305325452303236</v>
      </c>
      <c r="AU24" s="21">
        <f t="shared" si="21"/>
        <v>1</v>
      </c>
      <c r="AV24" s="18">
        <f t="shared" si="84"/>
        <v>0.67347157279132519</v>
      </c>
      <c r="AW24" s="18">
        <f>EST_FEC!$B151*$D$11/SUM($D$9:$D$13)</f>
        <v>1818.0700151623478</v>
      </c>
      <c r="AX24" s="18">
        <f t="shared" si="22"/>
        <v>647.14942817774238</v>
      </c>
      <c r="AY24" s="18">
        <f t="shared" si="23"/>
        <v>1431.5651833819588</v>
      </c>
      <c r="AZ24" s="21">
        <f t="shared" si="24"/>
        <v>0.45205725571566596</v>
      </c>
      <c r="BA24" s="18">
        <f t="shared" si="85"/>
        <v>0.86540713024680072</v>
      </c>
      <c r="BB24" s="18">
        <f>EST_FEC!$B151*$D$12/SUM($D$9:$D$13)</f>
        <v>574.53354852438429</v>
      </c>
      <c r="BC24" s="18">
        <f t="shared" si="25"/>
        <v>497.20542945899842</v>
      </c>
      <c r="BD24" s="18">
        <f t="shared" si="26"/>
        <v>574.53354852438429</v>
      </c>
      <c r="BE24" s="21">
        <f t="shared" si="27"/>
        <v>0.86540713024680072</v>
      </c>
      <c r="BF24" s="18">
        <f t="shared" si="86"/>
        <v>0.99999898955019817</v>
      </c>
      <c r="BG24" s="18">
        <f>EST_FEC!$B151*$D$13/SUM($D$9:$D$13)</f>
        <v>2671.9803685816878</v>
      </c>
      <c r="BH24" s="18">
        <f t="shared" si="28"/>
        <v>2671.977668679654</v>
      </c>
      <c r="BI24" s="18">
        <f t="shared" si="29"/>
        <v>2671.9803685816878</v>
      </c>
      <c r="BJ24" s="21">
        <f t="shared" si="30"/>
        <v>0.99999898955019817</v>
      </c>
      <c r="BK24" s="21">
        <f t="shared" si="31"/>
        <v>0.55656369240775128</v>
      </c>
      <c r="BL24" s="18">
        <f t="shared" si="32"/>
        <v>3280.2515773695577</v>
      </c>
      <c r="BM24" s="21">
        <f t="shared" si="33"/>
        <v>0.20766711051497258</v>
      </c>
      <c r="BO24" s="21">
        <f t="shared" si="87"/>
        <v>0.6700809176316852</v>
      </c>
      <c r="BP24" s="18">
        <f>EST_FEC!$B98*$D$14/SUM($D$14:$D$26)</f>
        <v>4.6737254514708786</v>
      </c>
      <c r="BQ24" s="18">
        <f t="shared" si="34"/>
        <v>2.5352458127506128</v>
      </c>
      <c r="BR24" s="18">
        <f t="shared" si="35"/>
        <v>4.4076151418393321</v>
      </c>
      <c r="BS24" s="21">
        <f t="shared" si="36"/>
        <v>0.5751967291074862</v>
      </c>
      <c r="BT24" s="21">
        <f t="shared" si="88"/>
        <v>0.6976153348061932</v>
      </c>
      <c r="BU24" s="18">
        <f>EST_FEC!$B98*$D$15/SUM($D$14:D$26)</f>
        <v>202.30554454223949</v>
      </c>
      <c r="BV24" s="18">
        <f t="shared" si="37"/>
        <v>95.667703849945127</v>
      </c>
      <c r="BW24" s="18">
        <f t="shared" si="38"/>
        <v>177.85837866108261</v>
      </c>
      <c r="BX24" s="21">
        <f t="shared" si="39"/>
        <v>0.53788696697974725</v>
      </c>
      <c r="BY24" s="21">
        <f t="shared" si="89"/>
        <v>0.84267784369888221</v>
      </c>
      <c r="BZ24" s="18">
        <f>EST_FEC!$B98*$D$16/SUM($D$14:D$26)</f>
        <v>4.6737254514708786</v>
      </c>
      <c r="CA24" s="18">
        <f t="shared" si="40"/>
        <v>3.0753469847902219</v>
      </c>
      <c r="CB24" s="18">
        <f t="shared" si="41"/>
        <v>4.0066570879992893</v>
      </c>
      <c r="CC24" s="21">
        <f t="shared" si="42"/>
        <v>0.7675593187152151</v>
      </c>
      <c r="CD24" s="21">
        <f t="shared" si="90"/>
        <v>0.57682535523919931</v>
      </c>
      <c r="CE24" s="18">
        <f>EST_FEC!$B98*$D$17/SUM($D$16:D$26)</f>
        <v>304.89339422282916</v>
      </c>
      <c r="CF24" s="18">
        <f t="shared" si="43"/>
        <v>130.21808874928553</v>
      </c>
      <c r="CG24" s="18">
        <f t="shared" si="44"/>
        <v>281.29555415057041</v>
      </c>
      <c r="CH24" s="21">
        <f t="shared" si="45"/>
        <v>0.46292266915666597</v>
      </c>
      <c r="CI24" s="21">
        <f t="shared" si="91"/>
        <v>0.80521804109884065</v>
      </c>
      <c r="CJ24" s="18">
        <f>EST_FEC!$B98*$D$18/SUM($D$16:D$26)</f>
        <v>67.754087605073153</v>
      </c>
      <c r="CK24" s="18">
        <f t="shared" si="46"/>
        <v>38.279723610822089</v>
      </c>
      <c r="CL24" s="18">
        <f t="shared" si="47"/>
        <v>57.233823525882087</v>
      </c>
      <c r="CM24" s="21">
        <f t="shared" si="48"/>
        <v>0.66883044417801929</v>
      </c>
      <c r="CN24" s="21">
        <f t="shared" si="92"/>
        <v>0.89378938548730669</v>
      </c>
      <c r="CO24" s="18">
        <f>EST_FEC!$B98*$D$19/SUM($D$16:$D$26)</f>
        <v>276.66252438738201</v>
      </c>
      <c r="CP24" s="18">
        <f t="shared" si="49"/>
        <v>195.34627619658332</v>
      </c>
      <c r="CQ24" s="18">
        <f t="shared" si="50"/>
        <v>242.85012979636977</v>
      </c>
      <c r="CR24" s="21">
        <f t="shared" si="51"/>
        <v>0.80439024825879846</v>
      </c>
      <c r="CS24" s="18">
        <f t="shared" si="93"/>
        <v>0.89373490567417624</v>
      </c>
      <c r="CT24" s="18">
        <f>EST_FEC!$B98*$D$20/SUM($D$16:D$26)</f>
        <v>25.407782851902429</v>
      </c>
      <c r="CU24" s="18">
        <f t="shared" si="52"/>
        <v>16.21506726204127</v>
      </c>
      <c r="CV24" s="18">
        <f t="shared" si="53"/>
        <v>21.620595539254627</v>
      </c>
      <c r="CW24" s="21">
        <f t="shared" si="54"/>
        <v>0.74998245226876337</v>
      </c>
      <c r="CX24" s="21">
        <f t="shared" si="94"/>
        <v>0.7796290700980224</v>
      </c>
      <c r="CY24" s="18">
        <f>EST_FEC!$B98*$D$21/SUM($D$14:$D$26)</f>
        <v>529.46632614520104</v>
      </c>
      <c r="CZ24" s="18">
        <f t="shared" si="55"/>
        <v>260.99819927578909</v>
      </c>
      <c r="DA24" s="18">
        <f t="shared" si="56"/>
        <v>445.43339443185158</v>
      </c>
      <c r="DB24" s="21">
        <f t="shared" si="57"/>
        <v>0.58594214654402188</v>
      </c>
      <c r="DC24" s="21">
        <f t="shared" si="95"/>
        <v>0.814576370511505</v>
      </c>
      <c r="DD24" s="18">
        <f>EST_FEC!$B98*$D$22/SUM($D$14:$D$26)</f>
        <v>621.60548504562689</v>
      </c>
      <c r="DE24" s="18">
        <f t="shared" si="58"/>
        <v>294.56125431689929</v>
      </c>
      <c r="DF24" s="18">
        <f t="shared" si="59"/>
        <v>462.19015585201828</v>
      </c>
      <c r="DG24" s="21">
        <f t="shared" si="60"/>
        <v>0.63731615783528384</v>
      </c>
      <c r="DH24" s="21">
        <f t="shared" si="96"/>
        <v>0.51973949104354122</v>
      </c>
      <c r="DI24" s="18">
        <f>EST_FEC!$B98*$D$23/SUM($D$14:$D$26)</f>
        <v>1374.7429577969342</v>
      </c>
      <c r="DJ24" s="18">
        <f t="shared" si="61"/>
        <v>380.12252937214822</v>
      </c>
      <c r="DK24" s="18">
        <f t="shared" si="62"/>
        <v>1258.244370063635</v>
      </c>
      <c r="DL24" s="21">
        <f t="shared" si="63"/>
        <v>0.30210548794501957</v>
      </c>
      <c r="DM24" s="21">
        <f t="shared" si="97"/>
        <v>0.5275039395912704</v>
      </c>
      <c r="DN24" s="18">
        <f>EST_FEC!$B98*$D$24/SUM($D$14:$D$26)</f>
        <v>229.01254712207307</v>
      </c>
      <c r="DO24" s="18">
        <f t="shared" si="64"/>
        <v>52.150435665367027</v>
      </c>
      <c r="DP24" s="18">
        <f t="shared" si="65"/>
        <v>183.11925193040997</v>
      </c>
      <c r="DQ24" s="21">
        <f t="shared" si="66"/>
        <v>0.28478947524963422</v>
      </c>
      <c r="DR24" s="21">
        <f t="shared" si="98"/>
        <v>0.85937810136137616</v>
      </c>
      <c r="DS24" s="18">
        <f>EST_FEC!$B98*$D$25/SUM($D$14:$D$26)</f>
        <v>51.410979966179667</v>
      </c>
      <c r="DT24" s="18">
        <f t="shared" si="67"/>
        <v>29.722080055293446</v>
      </c>
      <c r="DU24" s="18">
        <f t="shared" si="68"/>
        <v>41.88080076927109</v>
      </c>
      <c r="DV24" s="21">
        <f t="shared" si="69"/>
        <v>0.70968270685743962</v>
      </c>
      <c r="DW24" s="21">
        <f t="shared" si="99"/>
        <v>0.76966685048990191</v>
      </c>
      <c r="DX24" s="18">
        <f>EST_FEC!$B98*$D$26/SUM($D$14:$D$26)</f>
        <v>178.26924222038926</v>
      </c>
      <c r="DY24" s="18">
        <f t="shared" si="70"/>
        <v>107.77285265084068</v>
      </c>
      <c r="DZ24" s="18">
        <f t="shared" si="71"/>
        <v>170.959239235361</v>
      </c>
      <c r="EA24" s="21">
        <f t="shared" si="72"/>
        <v>0.63040086708896093</v>
      </c>
      <c r="EB24" s="21">
        <f t="shared" si="73"/>
        <v>0.4794440094341243</v>
      </c>
      <c r="EC24" s="18">
        <f t="shared" si="74"/>
        <v>519.77835662322695</v>
      </c>
      <c r="ED24" s="21">
        <f t="shared" si="75"/>
        <v>0.13427917730208253</v>
      </c>
    </row>
    <row r="25" spans="1:134" ht="19.5" customHeight="1" thickBot="1" x14ac:dyDescent="0.4">
      <c r="A25" s="77"/>
      <c r="B25" s="31" t="s">
        <v>44</v>
      </c>
      <c r="C25" s="34">
        <v>35</v>
      </c>
      <c r="D25" s="34">
        <v>77</v>
      </c>
      <c r="E25" s="21">
        <f t="shared" si="0"/>
        <v>0.45454545454545453</v>
      </c>
      <c r="F25" s="21">
        <f t="shared" si="101"/>
        <v>0.67567567567567566</v>
      </c>
      <c r="G25" s="55">
        <v>0.85</v>
      </c>
      <c r="H25" s="23" t="s">
        <v>200</v>
      </c>
      <c r="I25" s="23" t="s">
        <v>181</v>
      </c>
      <c r="J25" s="56">
        <f>'Efficiency Assumptions'!G35</f>
        <v>2.5</v>
      </c>
      <c r="K25" s="84"/>
      <c r="L25" s="58">
        <f t="shared" si="76"/>
        <v>0.93406593406593408</v>
      </c>
      <c r="M25" s="47">
        <f t="shared" si="77"/>
        <v>2042</v>
      </c>
      <c r="N25" s="21">
        <f t="shared" si="78"/>
        <v>0.77657592039449086</v>
      </c>
      <c r="O25" s="18">
        <f>EST_FEC!B205*D$5/SUM(D$5:D$8)</f>
        <v>116.59524347488374</v>
      </c>
      <c r="P25" s="18">
        <f t="shared" si="1"/>
        <v>63.129685480585522</v>
      </c>
      <c r="Q25" s="18">
        <f t="shared" si="2"/>
        <v>93.465808253093698</v>
      </c>
      <c r="R25" s="21">
        <f t="shared" si="3"/>
        <v>0.67543079828334918</v>
      </c>
      <c r="S25" s="21">
        <f t="shared" si="79"/>
        <v>0.61690310374772295</v>
      </c>
      <c r="T25" s="18">
        <f>EST_FEC!B205*D$6/SUM(D$5:D$8)</f>
        <v>10450.054949430229</v>
      </c>
      <c r="U25" s="18">
        <f t="shared" si="4"/>
        <v>2592.6689453600493</v>
      </c>
      <c r="V25" s="18">
        <f t="shared" si="5"/>
        <v>6617.1941970303014</v>
      </c>
      <c r="W25" s="21">
        <f t="shared" si="6"/>
        <v>0.39180789745049355</v>
      </c>
      <c r="X25" s="21">
        <f t="shared" si="80"/>
        <v>0</v>
      </c>
      <c r="Y25" s="18">
        <f>EST_FEC!$B205*$D$7/SUM($D$5:$D$8)</f>
        <v>19.554303932255092</v>
      </c>
      <c r="Z25" s="18">
        <f t="shared" si="7"/>
        <v>0</v>
      </c>
      <c r="AA25" s="18">
        <f t="shared" si="8"/>
        <v>19.554303932255092</v>
      </c>
      <c r="AB25" s="21">
        <f t="shared" si="9"/>
        <v>0</v>
      </c>
      <c r="AC25" s="21">
        <f t="shared" si="81"/>
        <v>0</v>
      </c>
      <c r="AD25" s="18">
        <f>EST_FEC!$B205*$D$8/SUM($D$5:$D$8)</f>
        <v>63.954780903331738</v>
      </c>
      <c r="AE25" s="18">
        <f t="shared" si="10"/>
        <v>0</v>
      </c>
      <c r="AF25" s="18">
        <f t="shared" si="11"/>
        <v>63.954780903331738</v>
      </c>
      <c r="AG25" s="21">
        <f t="shared" si="12"/>
        <v>0</v>
      </c>
      <c r="AH25" s="21">
        <f t="shared" si="13"/>
        <v>0.39089380844275179</v>
      </c>
      <c r="AI25" s="18">
        <f t="shared" si="14"/>
        <v>3855.9901876217164</v>
      </c>
      <c r="AJ25" s="21">
        <f t="shared" si="15"/>
        <v>0.36205939151359973</v>
      </c>
      <c r="AL25" s="21">
        <f t="shared" si="82"/>
        <v>0.65725777435015975</v>
      </c>
      <c r="AM25" s="18">
        <f>EST_FEC!B152*$D$9/SUM($D$9:$D$13)</f>
        <v>10754.384475237473</v>
      </c>
      <c r="AN25" s="18">
        <f t="shared" si="16"/>
        <v>3306.3778151723332</v>
      </c>
      <c r="AO25" s="18">
        <f t="shared" si="17"/>
        <v>7616.845243008649</v>
      </c>
      <c r="AP25" s="21">
        <f t="shared" si="18"/>
        <v>0.43408756639859419</v>
      </c>
      <c r="AQ25" s="21">
        <f t="shared" si="83"/>
        <v>1</v>
      </c>
      <c r="AR25" s="18">
        <f>EST_FEC!$B152*$D$10/SUM($D$9:$D$13)</f>
        <v>9.1581052708551614</v>
      </c>
      <c r="AS25" s="18">
        <f t="shared" si="19"/>
        <v>9.1581052708551614</v>
      </c>
      <c r="AT25" s="18">
        <f t="shared" si="20"/>
        <v>9.1581052708551614</v>
      </c>
      <c r="AU25" s="21">
        <f t="shared" si="21"/>
        <v>1</v>
      </c>
      <c r="AV25" s="18">
        <f t="shared" si="84"/>
        <v>0.69518736493785549</v>
      </c>
      <c r="AW25" s="18">
        <f>EST_FEC!$B152*$D$11/SUM($D$9:$D$13)</f>
        <v>1823.5602913807923</v>
      </c>
      <c r="AX25" s="18">
        <f t="shared" si="22"/>
        <v>670.03377572334341</v>
      </c>
      <c r="AY25" s="18">
        <f t="shared" si="23"/>
        <v>1404.4931857312026</v>
      </c>
      <c r="AZ25" s="21">
        <f t="shared" si="24"/>
        <v>0.47706445465914643</v>
      </c>
      <c r="BA25" s="18">
        <f t="shared" si="85"/>
        <v>0.89221636375462843</v>
      </c>
      <c r="BB25" s="18">
        <f>EST_FEC!$B152*$D$12/SUM($D$9:$D$13)</f>
        <v>576.26854654528302</v>
      </c>
      <c r="BC25" s="18">
        <f t="shared" si="25"/>
        <v>514.1562271447973</v>
      </c>
      <c r="BD25" s="18">
        <f t="shared" si="26"/>
        <v>576.26854654528302</v>
      </c>
      <c r="BE25" s="21">
        <f t="shared" si="27"/>
        <v>0.89221636375462854</v>
      </c>
      <c r="BF25" s="18">
        <f t="shared" si="86"/>
        <v>0.99999919081929023</v>
      </c>
      <c r="BG25" s="18">
        <f>EST_FEC!$B152*$D$13/SUM($D$9:$D$13)</f>
        <v>2680.0493154052042</v>
      </c>
      <c r="BH25" s="18">
        <f t="shared" si="28"/>
        <v>2680.0471467609968</v>
      </c>
      <c r="BI25" s="18">
        <f t="shared" si="29"/>
        <v>2680.0493154052042</v>
      </c>
      <c r="BJ25" s="21">
        <f t="shared" si="30"/>
        <v>0.99999919081929023</v>
      </c>
      <c r="BK25" s="21">
        <f t="shared" si="31"/>
        <v>0.58434780885372473</v>
      </c>
      <c r="BL25" s="18">
        <f t="shared" si="32"/>
        <v>3556.6063378784147</v>
      </c>
      <c r="BM25" s="21">
        <f t="shared" si="33"/>
        <v>0.22448474970319629</v>
      </c>
      <c r="BO25" s="21">
        <f t="shared" si="87"/>
        <v>0.681472818125474</v>
      </c>
      <c r="BP25" s="18">
        <f>EST_FEC!$B99*$D$14/SUM($D$14:$D$26)</f>
        <v>4.6688873858212485</v>
      </c>
      <c r="BQ25" s="18">
        <f t="shared" si="34"/>
        <v>2.5756779692163532</v>
      </c>
      <c r="BR25" s="18">
        <f t="shared" si="35"/>
        <v>4.3815242696033394</v>
      </c>
      <c r="BS25" s="21">
        <f t="shared" si="36"/>
        <v>0.58784975518337823</v>
      </c>
      <c r="BT25" s="21">
        <f t="shared" si="88"/>
        <v>0.71231627898981786</v>
      </c>
      <c r="BU25" s="18">
        <f>EST_FEC!$B99*$D$15/SUM($D$14:D$26)</f>
        <v>202.09612541483403</v>
      </c>
      <c r="BV25" s="18">
        <f t="shared" si="37"/>
        <v>97.582604036854349</v>
      </c>
      <c r="BW25" s="18">
        <f t="shared" si="38"/>
        <v>175.69649520121169</v>
      </c>
      <c r="BX25" s="21">
        <f t="shared" si="39"/>
        <v>0.55540438598448127</v>
      </c>
      <c r="BY25" s="21">
        <f t="shared" si="89"/>
        <v>0.86647307299458731</v>
      </c>
      <c r="BZ25" s="18">
        <f>EST_FEC!$B99*$D$16/SUM($D$14:D$26)</f>
        <v>4.6688873858212485</v>
      </c>
      <c r="CA25" s="18">
        <f t="shared" si="40"/>
        <v>3.1589141320134377</v>
      </c>
      <c r="CB25" s="18">
        <f t="shared" si="41"/>
        <v>3.9485438413603458</v>
      </c>
      <c r="CC25" s="21">
        <f t="shared" si="42"/>
        <v>0.80002002229893787</v>
      </c>
      <c r="CD25" s="21">
        <f t="shared" si="90"/>
        <v>0.5913845283701602</v>
      </c>
      <c r="CE25" s="18">
        <f>EST_FEC!$B99*$D$17/SUM($D$16:D$26)</f>
        <v>304.57777999330176</v>
      </c>
      <c r="CF25" s="18">
        <f t="shared" si="43"/>
        <v>133.36661695862762</v>
      </c>
      <c r="CG25" s="18">
        <f t="shared" si="44"/>
        <v>279.09530669655038</v>
      </c>
      <c r="CH25" s="21">
        <f t="shared" si="45"/>
        <v>0.47785331303916201</v>
      </c>
      <c r="CI25" s="21">
        <f t="shared" si="91"/>
        <v>0.82233625861996695</v>
      </c>
      <c r="CJ25" s="18">
        <f>EST_FEC!$B99*$D$18/SUM($D$16:D$26)</f>
        <v>67.683951109622612</v>
      </c>
      <c r="CK25" s="18">
        <f t="shared" si="46"/>
        <v>39.053048254916519</v>
      </c>
      <c r="CL25" s="18">
        <f t="shared" si="47"/>
        <v>56.323489827917754</v>
      </c>
      <c r="CM25" s="21">
        <f t="shared" si="48"/>
        <v>0.69337053464253151</v>
      </c>
      <c r="CN25" s="21">
        <f t="shared" si="92"/>
        <v>0.90576243245040378</v>
      </c>
      <c r="CO25" s="18">
        <f>EST_FEC!$B99*$D$19/SUM($D$16:$D$26)</f>
        <v>276.37613369762562</v>
      </c>
      <c r="CP25" s="18">
        <f t="shared" si="49"/>
        <v>197.75817690254368</v>
      </c>
      <c r="CQ25" s="18">
        <f t="shared" si="50"/>
        <v>239.86332406647631</v>
      </c>
      <c r="CR25" s="21">
        <f t="shared" si="51"/>
        <v>0.82446192085513037</v>
      </c>
      <c r="CS25" s="18">
        <f t="shared" si="93"/>
        <v>0.90310686792094064</v>
      </c>
      <c r="CT25" s="18">
        <f>EST_FEC!$B99*$D$20/SUM($D$16:D$26)</f>
        <v>25.381481666108478</v>
      </c>
      <c r="CU25" s="18">
        <f t="shared" si="52"/>
        <v>16.368141893250232</v>
      </c>
      <c r="CV25" s="18">
        <f t="shared" si="53"/>
        <v>21.291831966439766</v>
      </c>
      <c r="CW25" s="21">
        <f t="shared" si="54"/>
        <v>0.76875216369590627</v>
      </c>
      <c r="CX25" s="21">
        <f t="shared" si="94"/>
        <v>0.79318115395120581</v>
      </c>
      <c r="CY25" s="18">
        <f>EST_FEC!$B99*$D$21/SUM($D$14:$D$26)</f>
        <v>528.91824242232144</v>
      </c>
      <c r="CZ25" s="18">
        <f t="shared" si="55"/>
        <v>265.2601892935798</v>
      </c>
      <c r="DA25" s="18">
        <f t="shared" si="56"/>
        <v>438.17405007776381</v>
      </c>
      <c r="DB25" s="21">
        <f t="shared" si="57"/>
        <v>0.6053763093604092</v>
      </c>
      <c r="DC25" s="21">
        <f t="shared" si="95"/>
        <v>0.83837721239081975</v>
      </c>
      <c r="DD25" s="18">
        <f>EST_FEC!$B99*$D$22/SUM($D$14:$D$26)</f>
        <v>620.96202231422603</v>
      </c>
      <c r="DE25" s="18">
        <f t="shared" si="58"/>
        <v>302.8541156388265</v>
      </c>
      <c r="DF25" s="18">
        <f t="shared" si="59"/>
        <v>448.81504374204167</v>
      </c>
      <c r="DG25" s="21">
        <f t="shared" si="60"/>
        <v>0.67478601678265748</v>
      </c>
      <c r="DH25" s="21">
        <f t="shared" si="96"/>
        <v>0.52833930029567799</v>
      </c>
      <c r="DI25" s="18">
        <f>EST_FEC!$B99*$D$23/SUM($D$14:$D$26)</f>
        <v>1373.3198753437073</v>
      </c>
      <c r="DJ25" s="18">
        <f t="shared" si="61"/>
        <v>386.01218332106288</v>
      </c>
      <c r="DK25" s="18">
        <f t="shared" si="62"/>
        <v>1247.5171687429042</v>
      </c>
      <c r="DL25" s="21">
        <f t="shared" si="63"/>
        <v>0.3094243454060347</v>
      </c>
      <c r="DM25" s="21">
        <f t="shared" si="97"/>
        <v>0.54834600658221189</v>
      </c>
      <c r="DN25" s="18">
        <f>EST_FEC!$B99*$D$24/SUM($D$14:$D$26)</f>
        <v>228.77548190524121</v>
      </c>
      <c r="DO25" s="18">
        <f t="shared" si="64"/>
        <v>54.154820439414458</v>
      </c>
      <c r="DP25" s="18">
        <f t="shared" si="65"/>
        <v>179.21693478226538</v>
      </c>
      <c r="DQ25" s="21">
        <f t="shared" si="66"/>
        <v>0.30217468290710553</v>
      </c>
      <c r="DR25" s="21">
        <f t="shared" si="98"/>
        <v>0.87425499306330423</v>
      </c>
      <c r="DS25" s="18">
        <f>EST_FEC!$B99*$D$25/SUM($D$14:$D$26)</f>
        <v>51.357761244033739</v>
      </c>
      <c r="DT25" s="18">
        <f t="shared" si="67"/>
        <v>30.205306007373338</v>
      </c>
      <c r="DU25" s="18">
        <f t="shared" si="68"/>
        <v>41.06645762663311</v>
      </c>
      <c r="DV25" s="21">
        <f t="shared" si="69"/>
        <v>0.73552255911608222</v>
      </c>
      <c r="DW25" s="21">
        <f t="shared" si="99"/>
        <v>0.77407479852577044</v>
      </c>
      <c r="DX25" s="18">
        <f>EST_FEC!$B99*$D$26/SUM($D$14:$D$26)</f>
        <v>178.08470457346763</v>
      </c>
      <c r="DY25" s="18">
        <f t="shared" si="70"/>
        <v>108.27787566659569</v>
      </c>
      <c r="DZ25" s="18">
        <f t="shared" si="71"/>
        <v>170.1908907627647</v>
      </c>
      <c r="EA25" s="21">
        <f t="shared" si="72"/>
        <v>0.63621428374523392</v>
      </c>
      <c r="EB25" s="21">
        <f t="shared" si="73"/>
        <v>0.49511043293554902</v>
      </c>
      <c r="EC25" s="18">
        <f t="shared" si="74"/>
        <v>561.290272852199</v>
      </c>
      <c r="ED25" s="21">
        <f t="shared" si="75"/>
        <v>0.14515359428972141</v>
      </c>
    </row>
    <row r="26" spans="1:134" ht="19.5" customHeight="1" thickBot="1" x14ac:dyDescent="0.4">
      <c r="A26" s="77"/>
      <c r="B26" s="31" t="s">
        <v>45</v>
      </c>
      <c r="C26" s="34">
        <v>150</v>
      </c>
      <c r="D26" s="34">
        <v>267</v>
      </c>
      <c r="E26" s="21">
        <f t="shared" si="0"/>
        <v>0.5617977528089888</v>
      </c>
      <c r="F26" s="21">
        <f t="shared" si="101"/>
        <v>0.71523674756856326</v>
      </c>
      <c r="G26" s="55">
        <v>0.66</v>
      </c>
      <c r="H26" s="23" t="s">
        <v>200</v>
      </c>
      <c r="I26" s="23" t="s">
        <v>181</v>
      </c>
      <c r="J26" s="56">
        <f>'Efficiency Assumptions'!G36</f>
        <v>1.9591174715838817</v>
      </c>
      <c r="K26" s="84"/>
      <c r="L26" s="58">
        <f t="shared" si="76"/>
        <v>0.7917964789142764</v>
      </c>
      <c r="M26" s="47">
        <f t="shared" si="77"/>
        <v>2043</v>
      </c>
      <c r="N26" s="21">
        <f t="shared" si="78"/>
        <v>0.80341143485704403</v>
      </c>
      <c r="O26" s="18">
        <f>EST_FEC!B206*D$5/SUM(D$5:D$8)</f>
        <v>117.09479090643238</v>
      </c>
      <c r="P26" s="18">
        <f t="shared" si="1"/>
        <v>65.59103078201592</v>
      </c>
      <c r="Q26" s="18">
        <f t="shared" si="2"/>
        <v>92.397837954746834</v>
      </c>
      <c r="R26" s="21">
        <f t="shared" si="3"/>
        <v>0.7098762507207157</v>
      </c>
      <c r="S26" s="21">
        <f t="shared" si="79"/>
        <v>0.65570141066917209</v>
      </c>
      <c r="T26" s="18">
        <f>EST_FEC!B206*D$6/SUM(D$5:D$8)</f>
        <v>10494.827771665077</v>
      </c>
      <c r="U26" s="18">
        <f t="shared" si="4"/>
        <v>2767.5340336258978</v>
      </c>
      <c r="V26" s="18">
        <f t="shared" si="5"/>
        <v>6399.9703440461963</v>
      </c>
      <c r="W26" s="21">
        <f t="shared" si="6"/>
        <v>0.43242919651971456</v>
      </c>
      <c r="X26" s="21">
        <f t="shared" si="80"/>
        <v>0</v>
      </c>
      <c r="Y26" s="18">
        <f>EST_FEC!$B206*$D$7/SUM($D$5:$D$8)</f>
        <v>19.638083527493755</v>
      </c>
      <c r="Z26" s="18">
        <f t="shared" si="7"/>
        <v>0</v>
      </c>
      <c r="AA26" s="18">
        <f t="shared" si="8"/>
        <v>19.638083527493755</v>
      </c>
      <c r="AB26" s="21">
        <f t="shared" si="9"/>
        <v>0</v>
      </c>
      <c r="AC26" s="21">
        <f t="shared" si="81"/>
        <v>0</v>
      </c>
      <c r="AD26" s="18">
        <f>EST_FEC!$B206*$D$8/SUM($D$5:$D$8)</f>
        <v>64.228792480333993</v>
      </c>
      <c r="AE26" s="18">
        <f t="shared" si="10"/>
        <v>0</v>
      </c>
      <c r="AF26" s="18">
        <f t="shared" si="11"/>
        <v>64.228792480333993</v>
      </c>
      <c r="AG26" s="21">
        <f t="shared" si="12"/>
        <v>0</v>
      </c>
      <c r="AH26" s="21">
        <f t="shared" si="13"/>
        <v>0.43081262141894305</v>
      </c>
      <c r="AI26" s="18">
        <f t="shared" si="14"/>
        <v>4119.5543805705656</v>
      </c>
      <c r="AJ26" s="21">
        <f t="shared" si="15"/>
        <v>0.38515664544699035</v>
      </c>
      <c r="AL26" s="21">
        <f t="shared" si="82"/>
        <v>0.68379524782207868</v>
      </c>
      <c r="AM26" s="18">
        <f>EST_FEC!B153*$D$9/SUM($D$9:$D$13)</f>
        <v>10786.622686358094</v>
      </c>
      <c r="AN26" s="18">
        <f t="shared" si="16"/>
        <v>3450.1879456252191</v>
      </c>
      <c r="AO26" s="18">
        <f t="shared" si="17"/>
        <v>7438.8301151505748</v>
      </c>
      <c r="AP26" s="21">
        <f t="shared" si="18"/>
        <v>0.46380786927749074</v>
      </c>
      <c r="AQ26" s="21">
        <f t="shared" si="83"/>
        <v>1</v>
      </c>
      <c r="AR26" s="18">
        <f>EST_FEC!$B153*$D$10/SUM($D$9:$D$13)</f>
        <v>9.1855583465627006</v>
      </c>
      <c r="AS26" s="18">
        <f t="shared" si="19"/>
        <v>9.1855583465627006</v>
      </c>
      <c r="AT26" s="18">
        <f t="shared" si="20"/>
        <v>9.1855583465627006</v>
      </c>
      <c r="AU26" s="21">
        <f t="shared" si="21"/>
        <v>1</v>
      </c>
      <c r="AV26" s="18">
        <f t="shared" si="84"/>
        <v>0.71368754270925794</v>
      </c>
      <c r="AW26" s="18">
        <f>EST_FEC!$B153*$D$11/SUM($D$9:$D$13)</f>
        <v>1829.0267429290034</v>
      </c>
      <c r="AX26" s="18">
        <f t="shared" si="22"/>
        <v>689.92656991949241</v>
      </c>
      <c r="AY26" s="18">
        <f t="shared" si="23"/>
        <v>1381.8770376057923</v>
      </c>
      <c r="AZ26" s="21">
        <f t="shared" si="24"/>
        <v>0.49926769976208807</v>
      </c>
      <c r="BA26" s="18">
        <f t="shared" si="85"/>
        <v>0.91505576019309065</v>
      </c>
      <c r="BB26" s="18">
        <f>EST_FEC!$B153*$D$12/SUM($D$9:$D$13)</f>
        <v>577.9960156634346</v>
      </c>
      <c r="BC26" s="18">
        <f t="shared" si="25"/>
        <v>528.89858350148165</v>
      </c>
      <c r="BD26" s="18">
        <f t="shared" si="26"/>
        <v>577.9960156634346</v>
      </c>
      <c r="BE26" s="21">
        <f t="shared" si="27"/>
        <v>0.91505576019309065</v>
      </c>
      <c r="BF26" s="18">
        <f t="shared" si="86"/>
        <v>0.99999936228501229</v>
      </c>
      <c r="BG26" s="18">
        <f>EST_FEC!$B153*$D$13/SUM($D$9:$D$13)</f>
        <v>2688.0832475974785</v>
      </c>
      <c r="BH26" s="18">
        <f t="shared" si="28"/>
        <v>2688.0815333665032</v>
      </c>
      <c r="BI26" s="18">
        <f t="shared" si="29"/>
        <v>2688.0832475974785</v>
      </c>
      <c r="BJ26" s="21">
        <f t="shared" si="30"/>
        <v>0.99999936228501229</v>
      </c>
      <c r="BK26" s="21">
        <f t="shared" si="31"/>
        <v>0.60898621511122264</v>
      </c>
      <c r="BL26" s="18">
        <f t="shared" si="32"/>
        <v>3794.9422765307299</v>
      </c>
      <c r="BM26" s="21">
        <f t="shared" si="33"/>
        <v>0.23881207944452251</v>
      </c>
      <c r="BO26" s="21">
        <f t="shared" si="87"/>
        <v>0.69117783753564066</v>
      </c>
      <c r="BP26" s="18">
        <f>EST_FEC!$B100*$D$14/SUM($D$14:$D$26)</f>
        <v>4.6639512985810327</v>
      </c>
      <c r="BQ26" s="18">
        <f t="shared" si="34"/>
        <v>2.6095969590343469</v>
      </c>
      <c r="BR26" s="18">
        <f t="shared" si="35"/>
        <v>4.3585709544740805</v>
      </c>
      <c r="BS26" s="21">
        <f t="shared" si="36"/>
        <v>0.59872765323588251</v>
      </c>
      <c r="BT26" s="21">
        <f t="shared" si="88"/>
        <v>0.72484034806219455</v>
      </c>
      <c r="BU26" s="18">
        <f>EST_FEC!$B100*$D$15/SUM($D$14:D$26)</f>
        <v>201.8824633528647</v>
      </c>
      <c r="BV26" s="18">
        <f t="shared" si="37"/>
        <v>99.193337254137475</v>
      </c>
      <c r="BW26" s="18">
        <f t="shared" si="38"/>
        <v>173.82761670087172</v>
      </c>
      <c r="BX26" s="21">
        <f t="shared" si="39"/>
        <v>0.57064199082262423</v>
      </c>
      <c r="BY26" s="21">
        <f t="shared" si="89"/>
        <v>0.88674477061958812</v>
      </c>
      <c r="BZ26" s="18">
        <f>EST_FEC!$B100*$D$16/SUM($D$14:D$26)</f>
        <v>4.6639512985810327</v>
      </c>
      <c r="CA26" s="18">
        <f t="shared" si="40"/>
        <v>3.2294011372279421</v>
      </c>
      <c r="CB26" s="18">
        <f t="shared" si="41"/>
        <v>3.8984433155875542</v>
      </c>
      <c r="CC26" s="21">
        <f t="shared" si="42"/>
        <v>0.82838222228741643</v>
      </c>
      <c r="CD26" s="21">
        <f t="shared" si="90"/>
        <v>0.60378781945482085</v>
      </c>
      <c r="CE26" s="18">
        <f>EST_FEC!$B100*$D$17/SUM($D$16:D$26)</f>
        <v>304.25577126418909</v>
      </c>
      <c r="CF26" s="18">
        <f t="shared" si="43"/>
        <v>136.01979997771002</v>
      </c>
      <c r="CG26" s="18">
        <f t="shared" si="44"/>
        <v>277.1755858650402</v>
      </c>
      <c r="CH26" s="21">
        <f t="shared" si="45"/>
        <v>0.49073514015747238</v>
      </c>
      <c r="CI26" s="21">
        <f t="shared" si="91"/>
        <v>0.83691965788689049</v>
      </c>
      <c r="CJ26" s="18">
        <f>EST_FEC!$B100*$D$18/SUM($D$16:D$26)</f>
        <v>67.612393614264249</v>
      </c>
      <c r="CK26" s="18">
        <f t="shared" si="46"/>
        <v>39.703598938384403</v>
      </c>
      <c r="CL26" s="18">
        <f t="shared" si="47"/>
        <v>55.539648785070611</v>
      </c>
      <c r="CM26" s="21">
        <f t="shared" si="48"/>
        <v>0.71486946365164927</v>
      </c>
      <c r="CN26" s="21">
        <f t="shared" si="92"/>
        <v>0.91596254376976161</v>
      </c>
      <c r="CO26" s="18">
        <f>EST_FEC!$B100*$D$19/SUM($D$16:$D$26)</f>
        <v>276.08394059157899</v>
      </c>
      <c r="CP26" s="18">
        <f t="shared" si="49"/>
        <v>199.77377139286477</v>
      </c>
      <c r="CQ26" s="18">
        <f t="shared" si="50"/>
        <v>237.28183363984107</v>
      </c>
      <c r="CR26" s="21">
        <f t="shared" si="51"/>
        <v>0.84192611093899405</v>
      </c>
      <c r="CS26" s="18">
        <f t="shared" si="93"/>
        <v>0.91109105594696727</v>
      </c>
      <c r="CT26" s="18">
        <f>EST_FEC!$B100*$D$20/SUM($D$16:D$26)</f>
        <v>25.35464760534909</v>
      </c>
      <c r="CU26" s="18">
        <f t="shared" si="52"/>
        <v>16.495391499380446</v>
      </c>
      <c r="CV26" s="18">
        <f t="shared" si="53"/>
        <v>21.008583124287867</v>
      </c>
      <c r="CW26" s="21">
        <f t="shared" si="54"/>
        <v>0.78517391686021165</v>
      </c>
      <c r="CX26" s="21">
        <f t="shared" si="94"/>
        <v>0.80472648274994851</v>
      </c>
      <c r="CY26" s="18">
        <f>EST_FEC!$B100*$D$21/SUM($D$14:$D$26)</f>
        <v>528.35905425353701</v>
      </c>
      <c r="CZ26" s="18">
        <f t="shared" si="55"/>
        <v>268.83672132657119</v>
      </c>
      <c r="DA26" s="18">
        <f t="shared" si="56"/>
        <v>431.92533983461806</v>
      </c>
      <c r="DB26" s="21">
        <f t="shared" si="57"/>
        <v>0.62241479379169407</v>
      </c>
      <c r="DC26" s="21">
        <f t="shared" si="95"/>
        <v>0.85865369150358917</v>
      </c>
      <c r="DD26" s="18">
        <f>EST_FEC!$B100*$D$22/SUM($D$14:$D$26)</f>
        <v>620.30552271127738</v>
      </c>
      <c r="DE26" s="18">
        <f t="shared" si="58"/>
        <v>309.85083001997077</v>
      </c>
      <c r="DF26" s="18">
        <f t="shared" si="59"/>
        <v>437.36519186700377</v>
      </c>
      <c r="DG26" s="21">
        <f t="shared" si="60"/>
        <v>0.70844876497211462</v>
      </c>
      <c r="DH26" s="21">
        <f t="shared" si="96"/>
        <v>0.53566567360461126</v>
      </c>
      <c r="DI26" s="18">
        <f>EST_FEC!$B100*$D$23/SUM($D$14:$D$26)</f>
        <v>1371.8679605397638</v>
      </c>
      <c r="DJ26" s="18">
        <f t="shared" si="61"/>
        <v>390.95117282719985</v>
      </c>
      <c r="DK26" s="18">
        <f t="shared" si="62"/>
        <v>1238.177616639794</v>
      </c>
      <c r="DL26" s="21">
        <f t="shared" si="63"/>
        <v>0.31574724625387401</v>
      </c>
      <c r="DM26" s="21">
        <f t="shared" si="97"/>
        <v>0.56610183799992542</v>
      </c>
      <c r="DN26" s="18">
        <f>EST_FEC!$B100*$D$24/SUM($D$14:$D$26)</f>
        <v>228.53361363047057</v>
      </c>
      <c r="DO26" s="18">
        <f t="shared" si="64"/>
        <v>55.849283794794893</v>
      </c>
      <c r="DP26" s="18">
        <f t="shared" si="65"/>
        <v>175.86782139853156</v>
      </c>
      <c r="DQ26" s="21">
        <f t="shared" si="66"/>
        <v>0.31756397134320341</v>
      </c>
      <c r="DR26" s="21">
        <f t="shared" si="98"/>
        <v>0.88692895583263143</v>
      </c>
      <c r="DS26" s="18">
        <f>EST_FEC!$B100*$D$25/SUM($D$14:$D$26)</f>
        <v>51.303464284391353</v>
      </c>
      <c r="DT26" s="18">
        <f t="shared" si="67"/>
        <v>30.610791569254932</v>
      </c>
      <c r="DU26" s="18">
        <f t="shared" si="68"/>
        <v>40.366911669866703</v>
      </c>
      <c r="DV26" s="21">
        <f t="shared" si="69"/>
        <v>0.7583139334413197</v>
      </c>
      <c r="DW26" s="21">
        <f t="shared" si="99"/>
        <v>0.77783002982106075</v>
      </c>
      <c r="DX26" s="18">
        <f>EST_FEC!$B100*$D$26/SUM($D$14:$D$26)</f>
        <v>177.89642810301939</v>
      </c>
      <c r="DY26" s="18">
        <f t="shared" si="70"/>
        <v>108.68812889054213</v>
      </c>
      <c r="DZ26" s="18">
        <f t="shared" si="71"/>
        <v>169.50768423931248</v>
      </c>
      <c r="EA26" s="21">
        <f t="shared" si="72"/>
        <v>0.64119883047363946</v>
      </c>
      <c r="EB26" s="21">
        <f t="shared" si="73"/>
        <v>0.5087748810974263</v>
      </c>
      <c r="EC26" s="18">
        <f t="shared" si="74"/>
        <v>596.48231451356787</v>
      </c>
      <c r="ED26" s="21">
        <f t="shared" si="75"/>
        <v>0.15441775771853886</v>
      </c>
    </row>
    <row r="27" spans="1:134" x14ac:dyDescent="0.35">
      <c r="M27" s="47">
        <f t="shared" si="77"/>
        <v>2044</v>
      </c>
      <c r="N27" s="21">
        <f t="shared" si="78"/>
        <v>0.82532736274007923</v>
      </c>
      <c r="O27" s="18">
        <f>EST_FEC!B207*D$5/SUM(D$5:D$8)</f>
        <v>117.5924589989182</v>
      </c>
      <c r="P27" s="18">
        <f t="shared" si="1"/>
        <v>67.666636228339428</v>
      </c>
      <c r="Q27" s="18">
        <f t="shared" si="2"/>
        <v>91.586219637343135</v>
      </c>
      <c r="R27" s="21">
        <f t="shared" si="3"/>
        <v>0.73882988615843259</v>
      </c>
      <c r="S27" s="21">
        <f t="shared" si="79"/>
        <v>0.68779580766371429</v>
      </c>
      <c r="T27" s="18">
        <f>EST_FEC!B207*D$6/SUM(D$5:D$8)</f>
        <v>10539.432154811937</v>
      </c>
      <c r="U27" s="18">
        <f t="shared" si="4"/>
        <v>2915.3337024877528</v>
      </c>
      <c r="V27" s="18">
        <f t="shared" si="5"/>
        <v>6223.1653060787066</v>
      </c>
      <c r="W27" s="21">
        <f t="shared" si="6"/>
        <v>0.4684647697916835</v>
      </c>
      <c r="X27" s="21">
        <f t="shared" si="80"/>
        <v>0</v>
      </c>
      <c r="Y27" s="18">
        <f>EST_FEC!$B207*$D$7/SUM($D$5:$D$8)</f>
        <v>19.721547936914106</v>
      </c>
      <c r="Z27" s="18">
        <f t="shared" si="7"/>
        <v>0</v>
      </c>
      <c r="AA27" s="18">
        <f t="shared" si="8"/>
        <v>19.721547936914106</v>
      </c>
      <c r="AB27" s="21">
        <f t="shared" si="9"/>
        <v>0</v>
      </c>
      <c r="AC27" s="21">
        <f t="shared" si="81"/>
        <v>0</v>
      </c>
      <c r="AD27" s="18">
        <f>EST_FEC!$B207*$D$8/SUM($D$5:$D$8)</f>
        <v>64.501773202951256</v>
      </c>
      <c r="AE27" s="18">
        <f t="shared" si="10"/>
        <v>0</v>
      </c>
      <c r="AF27" s="18">
        <f t="shared" si="11"/>
        <v>64.501773202951256</v>
      </c>
      <c r="AG27" s="21">
        <f t="shared" si="12"/>
        <v>0</v>
      </c>
      <c r="AH27" s="21">
        <f t="shared" si="13"/>
        <v>0.46616847387386839</v>
      </c>
      <c r="AI27" s="18">
        <f t="shared" si="14"/>
        <v>4342.2730880948066</v>
      </c>
      <c r="AJ27" s="21">
        <f t="shared" si="15"/>
        <v>0.40426150801021687</v>
      </c>
      <c r="AL27" s="21">
        <f t="shared" si="82"/>
        <v>0.7057473451278774</v>
      </c>
      <c r="AM27" s="18">
        <f>EST_FEC!B154*$D$9/SUM($D$9:$D$13)</f>
        <v>10818.587728681172</v>
      </c>
      <c r="AN27" s="18">
        <f t="shared" si="16"/>
        <v>3571.5029403805311</v>
      </c>
      <c r="AO27" s="18">
        <f t="shared" si="17"/>
        <v>7294.2382412839379</v>
      </c>
      <c r="AP27" s="21">
        <f t="shared" si="18"/>
        <v>0.48963343700052664</v>
      </c>
      <c r="AQ27" s="21">
        <f t="shared" si="83"/>
        <v>1</v>
      </c>
      <c r="AR27" s="18">
        <f>EST_FEC!$B154*$D$10/SUM($D$9:$D$13)</f>
        <v>9.212778800067607</v>
      </c>
      <c r="AS27" s="18">
        <f t="shared" si="19"/>
        <v>9.212778800067607</v>
      </c>
      <c r="AT27" s="18">
        <f t="shared" si="20"/>
        <v>9.212778800067607</v>
      </c>
      <c r="AU27" s="21">
        <f t="shared" si="21"/>
        <v>1</v>
      </c>
      <c r="AV27" s="18">
        <f t="shared" si="84"/>
        <v>0.72899109837902221</v>
      </c>
      <c r="AW27" s="18">
        <f>EST_FEC!$B154*$D$11/SUM($D$9:$D$13)</f>
        <v>1834.446874785632</v>
      </c>
      <c r="AX27" s="18">
        <f t="shared" si="22"/>
        <v>706.8089873693151</v>
      </c>
      <c r="AY27" s="18">
        <f t="shared" si="23"/>
        <v>1363.7152505209704</v>
      </c>
      <c r="AZ27" s="21">
        <f t="shared" si="24"/>
        <v>0.51829660708076553</v>
      </c>
      <c r="BA27" s="18">
        <f t="shared" si="85"/>
        <v>0.93394876647544733</v>
      </c>
      <c r="BB27" s="18">
        <f>EST_FEC!$B154*$D$12/SUM($D$9:$D$13)</f>
        <v>579.70884716227044</v>
      </c>
      <c r="BC27" s="18">
        <f t="shared" si="25"/>
        <v>541.41836272210605</v>
      </c>
      <c r="BD27" s="18">
        <f t="shared" si="26"/>
        <v>579.70884716227033</v>
      </c>
      <c r="BE27" s="21">
        <f t="shared" si="27"/>
        <v>0.93394876647544744</v>
      </c>
      <c r="BF27" s="18">
        <f t="shared" si="86"/>
        <v>0.99999950412339123</v>
      </c>
      <c r="BG27" s="18">
        <f>EST_FEC!$B154*$D$13/SUM($D$9:$D$13)</f>
        <v>2696.0491046850802</v>
      </c>
      <c r="BH27" s="18">
        <f t="shared" si="28"/>
        <v>2696.0477677773929</v>
      </c>
      <c r="BI27" s="18">
        <f t="shared" si="29"/>
        <v>2696.0491046850802</v>
      </c>
      <c r="BJ27" s="21">
        <f t="shared" si="30"/>
        <v>0.99999950412339111</v>
      </c>
      <c r="BK27" s="21">
        <f t="shared" si="31"/>
        <v>0.63007942584971477</v>
      </c>
      <c r="BL27" s="18">
        <f t="shared" si="32"/>
        <v>3995.0811116618952</v>
      </c>
      <c r="BM27" s="21">
        <f t="shared" si="33"/>
        <v>0.25066380816868561</v>
      </c>
      <c r="BO27" s="21">
        <f t="shared" si="87"/>
        <v>0.69920593903038464</v>
      </c>
      <c r="BP27" s="18">
        <f>EST_FEC!$B101*$D$14/SUM($D$14:$D$26)</f>
        <v>4.6588611774127529</v>
      </c>
      <c r="BQ27" s="18">
        <f t="shared" si="34"/>
        <v>2.6370265654384042</v>
      </c>
      <c r="BR27" s="18">
        <f t="shared" si="35"/>
        <v>4.3386752898534269</v>
      </c>
      <c r="BS27" s="21">
        <f t="shared" si="36"/>
        <v>0.60779532674534187</v>
      </c>
      <c r="BT27" s="21">
        <f t="shared" si="88"/>
        <v>0.73520039922653313</v>
      </c>
      <c r="BU27" s="18">
        <f>EST_FEC!$B101*$D$15/SUM($D$14:D$26)</f>
        <v>201.66213382229486</v>
      </c>
      <c r="BV27" s="18">
        <f t="shared" si="37"/>
        <v>100.50129058063183</v>
      </c>
      <c r="BW27" s="18">
        <f t="shared" si="38"/>
        <v>172.24712349516267</v>
      </c>
      <c r="BX27" s="21">
        <f t="shared" si="39"/>
        <v>0.58347151778969641</v>
      </c>
      <c r="BY27" s="21">
        <f t="shared" si="89"/>
        <v>0.90351374748879298</v>
      </c>
      <c r="BZ27" s="18">
        <f>EST_FEC!$B101*$D$16/SUM($D$14:D$26)</f>
        <v>4.6588611774127529</v>
      </c>
      <c r="CA27" s="18">
        <f t="shared" si="40"/>
        <v>3.2868802797900787</v>
      </c>
      <c r="CB27" s="18">
        <f t="shared" si="41"/>
        <v>3.8562396017337539</v>
      </c>
      <c r="CC27" s="21">
        <f t="shared" si="42"/>
        <v>0.85235374853582935</v>
      </c>
      <c r="CD27" s="21">
        <f t="shared" si="90"/>
        <v>0.6140479617057677</v>
      </c>
      <c r="CE27" s="18">
        <f>EST_FEC!$B101*$D$17/SUM($D$16:D$26)</f>
        <v>303.92371403572827</v>
      </c>
      <c r="CF27" s="18">
        <f t="shared" si="43"/>
        <v>138.18020776526978</v>
      </c>
      <c r="CG27" s="18">
        <f t="shared" si="44"/>
        <v>275.53061878706711</v>
      </c>
      <c r="CH27" s="21">
        <f t="shared" si="45"/>
        <v>0.50150581584566778</v>
      </c>
      <c r="CI27" s="21">
        <f t="shared" si="91"/>
        <v>0.84898321021019574</v>
      </c>
      <c r="CJ27" s="18">
        <f>EST_FEC!$B101*$D$18/SUM($D$16:D$26)</f>
        <v>67.53860311905072</v>
      </c>
      <c r="CK27" s="18">
        <f t="shared" si="46"/>
        <v>40.231939622649499</v>
      </c>
      <c r="CL27" s="18">
        <f t="shared" si="47"/>
        <v>54.880543774344403</v>
      </c>
      <c r="CM27" s="21">
        <f t="shared" si="48"/>
        <v>0.73308201515046134</v>
      </c>
      <c r="CN27" s="21">
        <f t="shared" si="92"/>
        <v>0.92440019087469272</v>
      </c>
      <c r="CO27" s="18">
        <f>EST_FEC!$B101*$D$19/SUM($D$16:$D$26)</f>
        <v>275.78262940279046</v>
      </c>
      <c r="CP27" s="18">
        <f t="shared" si="49"/>
        <v>201.39400720342547</v>
      </c>
      <c r="CQ27" s="18">
        <f t="shared" si="50"/>
        <v>235.09930680766317</v>
      </c>
      <c r="CR27" s="21">
        <f t="shared" si="51"/>
        <v>0.85663377718160483</v>
      </c>
      <c r="CS27" s="18">
        <f t="shared" si="93"/>
        <v>0.91769566631579524</v>
      </c>
      <c r="CT27" s="18">
        <f>EST_FEC!$B101*$D$20/SUM($D$16:D$26)</f>
        <v>25.32697616964402</v>
      </c>
      <c r="CU27" s="18">
        <f t="shared" si="52"/>
        <v>16.596835441468276</v>
      </c>
      <c r="CV27" s="18">
        <f t="shared" si="53"/>
        <v>20.770204458196556</v>
      </c>
      <c r="CW27" s="21">
        <f t="shared" si="54"/>
        <v>0.79906943019613164</v>
      </c>
      <c r="CX27" s="21">
        <f t="shared" si="94"/>
        <v>0.81427690892317206</v>
      </c>
      <c r="CY27" s="18">
        <f>EST_FEC!$B101*$D$21/SUM($D$14:$D$26)</f>
        <v>527.78241624118755</v>
      </c>
      <c r="CZ27" s="18">
        <f t="shared" si="55"/>
        <v>271.730369090431</v>
      </c>
      <c r="DA27" s="18">
        <f t="shared" si="56"/>
        <v>426.67337291962275</v>
      </c>
      <c r="DB27" s="21">
        <f t="shared" si="57"/>
        <v>0.63685804256086043</v>
      </c>
      <c r="DC27" s="21">
        <f t="shared" si="95"/>
        <v>0.87542662367339474</v>
      </c>
      <c r="DD27" s="18">
        <f>EST_FEC!$B101*$D$22/SUM($D$14:$D$26)</f>
        <v>619.62853659589609</v>
      </c>
      <c r="DE27" s="18">
        <f t="shared" si="58"/>
        <v>315.55868365115714</v>
      </c>
      <c r="DF27" s="18">
        <f t="shared" si="59"/>
        <v>427.81883655424519</v>
      </c>
      <c r="DG27" s="21">
        <f t="shared" si="60"/>
        <v>0.73759885420834181</v>
      </c>
      <c r="DH27" s="21">
        <f t="shared" si="96"/>
        <v>0.54172613222161159</v>
      </c>
      <c r="DI27" s="18">
        <f>EST_FEC!$B101*$D$23/SUM($D$14:$D$26)</f>
        <v>1370.3707377561227</v>
      </c>
      <c r="DJ27" s="18">
        <f t="shared" si="61"/>
        <v>394.9428467606358</v>
      </c>
      <c r="DK27" s="18">
        <f t="shared" si="62"/>
        <v>1230.1987776225928</v>
      </c>
      <c r="DL27" s="21">
        <f t="shared" si="63"/>
        <v>0.32103986278045105</v>
      </c>
      <c r="DM27" s="21">
        <f t="shared" si="97"/>
        <v>0.58078966197229631</v>
      </c>
      <c r="DN27" s="18">
        <f>EST_FEC!$B101*$D$24/SUM($D$14:$D$26)</f>
        <v>228.28419769322488</v>
      </c>
      <c r="DO27" s="18">
        <f t="shared" si="64"/>
        <v>57.235790247512654</v>
      </c>
      <c r="DP27" s="18">
        <f t="shared" si="65"/>
        <v>173.06504637845433</v>
      </c>
      <c r="DQ27" s="21">
        <f t="shared" si="66"/>
        <v>0.330718371186004</v>
      </c>
      <c r="DR27" s="21">
        <f t="shared" si="98"/>
        <v>0.89741300075336372</v>
      </c>
      <c r="DS27" s="18">
        <f>EST_FEC!$B101*$D$25/SUM($D$14:$D$26)</f>
        <v>51.247472951540281</v>
      </c>
      <c r="DT27" s="18">
        <f t="shared" si="67"/>
        <v>30.938827160933428</v>
      </c>
      <c r="DU27" s="18">
        <f t="shared" si="68"/>
        <v>39.780691040735789</v>
      </c>
      <c r="DV27" s="21">
        <f t="shared" si="69"/>
        <v>0.77773478417586528</v>
      </c>
      <c r="DW27" s="21">
        <f t="shared" si="99"/>
        <v>0.78093639949439175</v>
      </c>
      <c r="DX27" s="18">
        <f>EST_FEC!$B101*$D$26/SUM($D$14:$D$26)</f>
        <v>177.70227633845786</v>
      </c>
      <c r="DY27" s="18">
        <f t="shared" si="70"/>
        <v>109.00309640732381</v>
      </c>
      <c r="DZ27" s="18">
        <f t="shared" si="71"/>
        <v>168.90682682331763</v>
      </c>
      <c r="EA27" s="21">
        <f t="shared" si="72"/>
        <v>0.64534452785229823</v>
      </c>
      <c r="EB27" s="21">
        <f t="shared" si="73"/>
        <v>0.520306616996561</v>
      </c>
      <c r="EC27" s="18">
        <f t="shared" si="74"/>
        <v>625.40115292777364</v>
      </c>
      <c r="ED27" s="21">
        <f t="shared" si="75"/>
        <v>0.16208117817419804</v>
      </c>
    </row>
    <row r="28" spans="1:134" ht="15.5" x14ac:dyDescent="0.35">
      <c r="A28" s="59" t="s">
        <v>211</v>
      </c>
      <c r="J28" s="7"/>
      <c r="M28" s="47">
        <f t="shared" si="77"/>
        <v>2045</v>
      </c>
      <c r="N28" s="21">
        <f t="shared" si="78"/>
        <v>0.84283577649809138</v>
      </c>
      <c r="O28" s="18">
        <f>EST_FEC!B208*D$5/SUM(D$5:D$8)</f>
        <v>118.08552755730155</v>
      </c>
      <c r="P28" s="18">
        <f t="shared" si="1"/>
        <v>69.391856745795224</v>
      </c>
      <c r="Q28" s="18">
        <f t="shared" si="2"/>
        <v>91.004089071431508</v>
      </c>
      <c r="R28" s="21">
        <f t="shared" si="3"/>
        <v>0.76251361289191877</v>
      </c>
      <c r="S28" s="21">
        <f t="shared" si="79"/>
        <v>0.71370441443427024</v>
      </c>
      <c r="T28" s="18">
        <f>EST_FEC!B208*D$6/SUM(D$5:D$8)</f>
        <v>10583.624296578442</v>
      </c>
      <c r="U28" s="18">
        <f t="shared" si="4"/>
        <v>3037.8360672358062</v>
      </c>
      <c r="V28" s="18">
        <f t="shared" si="5"/>
        <v>6083.8824727209249</v>
      </c>
      <c r="W28" s="21">
        <f t="shared" si="6"/>
        <v>0.49932523858850608</v>
      </c>
      <c r="X28" s="21">
        <f t="shared" si="80"/>
        <v>0</v>
      </c>
      <c r="Y28" s="18">
        <f>EST_FEC!$B208*$D$7/SUM($D$5:$D$8)</f>
        <v>19.804240953907925</v>
      </c>
      <c r="Z28" s="18">
        <f t="shared" si="7"/>
        <v>0</v>
      </c>
      <c r="AA28" s="18">
        <f t="shared" si="8"/>
        <v>19.804240953907925</v>
      </c>
      <c r="AB28" s="21">
        <f t="shared" si="9"/>
        <v>0</v>
      </c>
      <c r="AC28" s="21">
        <f t="shared" si="81"/>
        <v>0</v>
      </c>
      <c r="AD28" s="18">
        <f>EST_FEC!$B208*$D$8/SUM($D$5:$D$8)</f>
        <v>64.772230990781352</v>
      </c>
      <c r="AE28" s="18">
        <f t="shared" si="10"/>
        <v>0</v>
      </c>
      <c r="AF28" s="18">
        <f t="shared" si="11"/>
        <v>64.772230990781352</v>
      </c>
      <c r="AG28" s="21">
        <f t="shared" si="12"/>
        <v>0</v>
      </c>
      <c r="AH28" s="21">
        <f t="shared" si="13"/>
        <v>0.49640486847423942</v>
      </c>
      <c r="AI28" s="18">
        <f t="shared" si="14"/>
        <v>4526.8232623433887</v>
      </c>
      <c r="AJ28" s="21">
        <f t="shared" si="15"/>
        <v>0.41968321052152718</v>
      </c>
      <c r="AL28" s="21">
        <f t="shared" si="82"/>
        <v>0.7234684525530034</v>
      </c>
      <c r="AM28" s="18">
        <f>EST_FEC!B155*$D$9/SUM($D$9:$D$13)</f>
        <v>10850.030531658113</v>
      </c>
      <c r="AN28" s="18">
        <f t="shared" si="16"/>
        <v>3671.8230696412265</v>
      </c>
      <c r="AO28" s="18">
        <f t="shared" si="17"/>
        <v>7180.5279475677462</v>
      </c>
      <c r="AP28" s="21">
        <f t="shared" si="18"/>
        <v>0.51135837036676113</v>
      </c>
      <c r="AQ28" s="21">
        <f t="shared" si="83"/>
        <v>1</v>
      </c>
      <c r="AR28" s="18">
        <f>EST_FEC!$B155*$D$10/SUM($D$9:$D$13)</f>
        <v>9.239554530499845</v>
      </c>
      <c r="AS28" s="18">
        <f t="shared" si="19"/>
        <v>9.239554530499845</v>
      </c>
      <c r="AT28" s="18">
        <f t="shared" si="20"/>
        <v>9.239554530499845</v>
      </c>
      <c r="AU28" s="21">
        <f t="shared" si="21"/>
        <v>1</v>
      </c>
      <c r="AV28" s="18">
        <f t="shared" si="84"/>
        <v>0.74134508671245802</v>
      </c>
      <c r="AW28" s="18">
        <f>EST_FEC!$B155*$D$11/SUM($D$9:$D$13)</f>
        <v>1839.7784534631924</v>
      </c>
      <c r="AX28" s="18">
        <f t="shared" si="22"/>
        <v>720.87612237947587</v>
      </c>
      <c r="AY28" s="18">
        <f t="shared" si="23"/>
        <v>1349.6593782043151</v>
      </c>
      <c r="AZ28" s="21">
        <f t="shared" si="24"/>
        <v>0.53411707725736091</v>
      </c>
      <c r="BA28" s="18">
        <f t="shared" si="85"/>
        <v>0.94920038408852991</v>
      </c>
      <c r="BB28" s="18">
        <f>EST_FEC!$B155*$D$12/SUM($D$9:$D$13)</f>
        <v>581.39369471561508</v>
      </c>
      <c r="BC28" s="18">
        <f t="shared" si="25"/>
        <v>551.85911833071134</v>
      </c>
      <c r="BD28" s="18">
        <f t="shared" si="26"/>
        <v>581.39369471561508</v>
      </c>
      <c r="BE28" s="21">
        <f t="shared" si="27"/>
        <v>0.94920038408852991</v>
      </c>
      <c r="BF28" s="18">
        <f t="shared" si="86"/>
        <v>0.99999961862421149</v>
      </c>
      <c r="BG28" s="18">
        <f>EST_FEC!$B155*$D$13/SUM($D$9:$D$13)</f>
        <v>2703.8848169740359</v>
      </c>
      <c r="BH28" s="18">
        <f t="shared" si="28"/>
        <v>2703.8837857778317</v>
      </c>
      <c r="BI28" s="18">
        <f t="shared" si="29"/>
        <v>2703.8848169740359</v>
      </c>
      <c r="BJ28" s="21">
        <f t="shared" si="30"/>
        <v>0.99999961862421149</v>
      </c>
      <c r="BK28" s="21">
        <f t="shared" si="31"/>
        <v>0.64760020624662595</v>
      </c>
      <c r="BL28" s="18">
        <f t="shared" si="32"/>
        <v>4159.6216593492427</v>
      </c>
      <c r="BM28" s="21">
        <f t="shared" si="33"/>
        <v>0.26023126566345839</v>
      </c>
      <c r="BO28" s="21">
        <f t="shared" si="87"/>
        <v>0.70568672521798026</v>
      </c>
      <c r="BP28" s="18">
        <f>EST_FEC!$B102*$D$14/SUM($D$14:$D$26)</f>
        <v>4.6535119991836389</v>
      </c>
      <c r="BQ28" s="18">
        <f t="shared" si="34"/>
        <v>2.6584127589966733</v>
      </c>
      <c r="BR28" s="18">
        <f t="shared" si="35"/>
        <v>4.3214867623675106</v>
      </c>
      <c r="BS28" s="21">
        <f t="shared" si="36"/>
        <v>0.61516161107948686</v>
      </c>
      <c r="BT28" s="21">
        <f t="shared" si="88"/>
        <v>0.74356368119706939</v>
      </c>
      <c r="BU28" s="18">
        <f>EST_FEC!$B102*$D$15/SUM($D$14:D$26)</f>
        <v>201.43059082180611</v>
      </c>
      <c r="BV28" s="18">
        <f t="shared" si="37"/>
        <v>101.52783884225197</v>
      </c>
      <c r="BW28" s="18">
        <f t="shared" si="38"/>
        <v>170.92791675249595</v>
      </c>
      <c r="BX28" s="21">
        <f t="shared" si="39"/>
        <v>0.59398043790157773</v>
      </c>
      <c r="BY28" s="21">
        <f t="shared" si="89"/>
        <v>0.91705071556838214</v>
      </c>
      <c r="BZ28" s="18">
        <f>EST_FEC!$B102*$D$16/SUM($D$14:D$26)</f>
        <v>4.6535119991836389</v>
      </c>
      <c r="CA28" s="18">
        <f t="shared" si="40"/>
        <v>3.3322957806631925</v>
      </c>
      <c r="CB28" s="18">
        <f t="shared" si="41"/>
        <v>3.8212122973762757</v>
      </c>
      <c r="CC28" s="21">
        <f t="shared" si="42"/>
        <v>0.87205198804348472</v>
      </c>
      <c r="CD28" s="21">
        <f t="shared" si="90"/>
        <v>0.62233059094584831</v>
      </c>
      <c r="CE28" s="18">
        <f>EST_FEC!$B102*$D$17/SUM($D$16:D$26)</f>
        <v>303.57475705836367</v>
      </c>
      <c r="CF28" s="18">
        <f t="shared" si="43"/>
        <v>139.88326644517792</v>
      </c>
      <c r="CG28" s="18">
        <f t="shared" si="44"/>
        <v>274.13178489697242</v>
      </c>
      <c r="CH28" s="21">
        <f t="shared" si="45"/>
        <v>0.51027744374024553</v>
      </c>
      <c r="CI28" s="21">
        <f t="shared" si="91"/>
        <v>0.85872166497704172</v>
      </c>
      <c r="CJ28" s="18">
        <f>EST_FEC!$B102*$D$18/SUM($D$16:D$26)</f>
        <v>67.46105712408081</v>
      </c>
      <c r="CK28" s="18">
        <f t="shared" si="46"/>
        <v>40.646706131789884</v>
      </c>
      <c r="CL28" s="18">
        <f t="shared" si="47"/>
        <v>54.334947214630176</v>
      </c>
      <c r="CM28" s="21">
        <f t="shared" si="48"/>
        <v>0.74807666548805241</v>
      </c>
      <c r="CN28" s="21">
        <f t="shared" si="92"/>
        <v>0.93121158792158398</v>
      </c>
      <c r="CO28" s="18">
        <f>EST_FEC!$B102*$D$19/SUM($D$16:$D$26)</f>
        <v>275.46598325666332</v>
      </c>
      <c r="CP28" s="18">
        <f t="shared" si="49"/>
        <v>202.64502998663301</v>
      </c>
      <c r="CQ28" s="18">
        <f t="shared" si="50"/>
        <v>233.27833431910284</v>
      </c>
      <c r="CR28" s="21">
        <f t="shared" si="51"/>
        <v>0.86868345737342945</v>
      </c>
      <c r="CS28" s="18">
        <f t="shared" si="93"/>
        <v>0.9230273213379413</v>
      </c>
      <c r="CT28" s="18">
        <f>EST_FEC!$B102*$D$20/SUM($D$16:D$26)</f>
        <v>25.297896421530307</v>
      </c>
      <c r="CU28" s="18">
        <f t="shared" si="52"/>
        <v>16.674093470333052</v>
      </c>
      <c r="CV28" s="18">
        <f t="shared" si="53"/>
        <v>20.572631300874278</v>
      </c>
      <c r="CW28" s="21">
        <f t="shared" si="54"/>
        <v>0.81049882372725213</v>
      </c>
      <c r="CX28" s="21">
        <f t="shared" si="94"/>
        <v>0.82198661090808101</v>
      </c>
      <c r="CY28" s="18">
        <f>EST_FEC!$B102*$D$21/SUM($D$14:$D$26)</f>
        <v>527.17643076466084</v>
      </c>
      <c r="CZ28" s="18">
        <f t="shared" si="55"/>
        <v>273.98820755633778</v>
      </c>
      <c r="DA28" s="18">
        <f t="shared" si="56"/>
        <v>422.32873023359207</v>
      </c>
      <c r="DB28" s="21">
        <f t="shared" si="57"/>
        <v>0.64875578652864463</v>
      </c>
      <c r="DC28" s="21">
        <f t="shared" si="95"/>
        <v>0.88896678471928081</v>
      </c>
      <c r="DD28" s="18">
        <f>EST_FEC!$B102*$D$22/SUM($D$14:$D$26)</f>
        <v>618.91709589142408</v>
      </c>
      <c r="DE28" s="18">
        <f t="shared" si="58"/>
        <v>320.07148741791696</v>
      </c>
      <c r="DF28" s="18">
        <f t="shared" si="59"/>
        <v>420.01494700093161</v>
      </c>
      <c r="DG28" s="21">
        <f t="shared" si="60"/>
        <v>0.76204785020949983</v>
      </c>
      <c r="DH28" s="21">
        <f t="shared" si="96"/>
        <v>0.54661851387887705</v>
      </c>
      <c r="DI28" s="18">
        <f>EST_FEC!$B102*$D$23/SUM($D$14:$D$26)</f>
        <v>1368.7973151884446</v>
      </c>
      <c r="DJ28" s="18">
        <f t="shared" si="61"/>
        <v>398.052056271597</v>
      </c>
      <c r="DK28" s="18">
        <f t="shared" si="62"/>
        <v>1223.4422884160895</v>
      </c>
      <c r="DL28" s="21">
        <f t="shared" si="63"/>
        <v>0.32535417488873047</v>
      </c>
      <c r="DM28" s="21">
        <f t="shared" si="97"/>
        <v>0.59264659312697776</v>
      </c>
      <c r="DN28" s="18">
        <f>EST_FEC!$B102*$D$24/SUM($D$14:$D$26)</f>
        <v>228.02208795999832</v>
      </c>
      <c r="DO28" s="18">
        <f t="shared" si="64"/>
        <v>58.337211565176901</v>
      </c>
      <c r="DP28" s="18">
        <f t="shared" si="65"/>
        <v>170.76112642347459</v>
      </c>
      <c r="DQ28" s="21">
        <f t="shared" si="66"/>
        <v>0.34163051501841851</v>
      </c>
      <c r="DR28" s="21">
        <f t="shared" si="98"/>
        <v>0.90587637824764378</v>
      </c>
      <c r="DS28" s="18">
        <f>EST_FEC!$B102*$D$25/SUM($D$14:$D$26)</f>
        <v>51.188631991020031</v>
      </c>
      <c r="DT28" s="18">
        <f t="shared" si="67"/>
        <v>31.194748810047962</v>
      </c>
      <c r="DU28" s="18">
        <f t="shared" si="68"/>
        <v>39.297848769825379</v>
      </c>
      <c r="DV28" s="21">
        <f t="shared" si="69"/>
        <v>0.79380296343347589</v>
      </c>
      <c r="DW28" s="21">
        <f t="shared" si="99"/>
        <v>0.783444055592869</v>
      </c>
      <c r="DX28" s="18">
        <f>EST_FEC!$B102*$D$26/SUM($D$14:$D$26)</f>
        <v>177.4982433974331</v>
      </c>
      <c r="DY28" s="18">
        <f t="shared" si="70"/>
        <v>109.22755874044222</v>
      </c>
      <c r="DZ28" s="18">
        <f t="shared" si="71"/>
        <v>168.37756905906883</v>
      </c>
      <c r="EA28" s="21">
        <f t="shared" si="72"/>
        <v>0.64870611537409661</v>
      </c>
      <c r="EB28" s="21">
        <f t="shared" si="73"/>
        <v>0.52977076985014349</v>
      </c>
      <c r="EC28" s="18">
        <f t="shared" si="74"/>
        <v>648.52629042699118</v>
      </c>
      <c r="ED28" s="21">
        <f t="shared" si="75"/>
        <v>0.16826757099338313</v>
      </c>
    </row>
    <row r="29" spans="1:134" ht="45" customHeight="1" x14ac:dyDescent="0.35">
      <c r="A29" s="11"/>
      <c r="B29" s="11"/>
      <c r="C29" s="28" t="s">
        <v>144</v>
      </c>
      <c r="D29" s="28" t="s">
        <v>145</v>
      </c>
      <c r="E29" s="54" t="s">
        <v>146</v>
      </c>
      <c r="M29" s="47">
        <f t="shared" si="77"/>
        <v>2046</v>
      </c>
      <c r="N29" s="21">
        <f t="shared" si="78"/>
        <v>0.85657863627190456</v>
      </c>
      <c r="O29" s="18">
        <f>EST_FEC!B209*D$5/SUM(D$5:D$8)</f>
        <v>118.57407662693221</v>
      </c>
      <c r="P29" s="18">
        <f t="shared" si="1"/>
        <v>70.815098212633174</v>
      </c>
      <c r="Q29" s="18">
        <f t="shared" si="2"/>
        <v>90.619095634983324</v>
      </c>
      <c r="R29" s="21">
        <f t="shared" si="3"/>
        <v>0.78145889358550547</v>
      </c>
      <c r="S29" s="21">
        <f t="shared" si="79"/>
        <v>0.73421039707330749</v>
      </c>
      <c r="T29" s="18">
        <f>EST_FEC!B209*D$6/SUM(D$5:D$8)</f>
        <v>10627.411371170669</v>
      </c>
      <c r="U29" s="18">
        <f t="shared" si="4"/>
        <v>3138.0478273430926</v>
      </c>
      <c r="V29" s="18">
        <f t="shared" si="5"/>
        <v>5977.6201161441513</v>
      </c>
      <c r="W29" s="21">
        <f t="shared" si="6"/>
        <v>0.52496608455729077</v>
      </c>
      <c r="X29" s="21">
        <f t="shared" si="80"/>
        <v>0</v>
      </c>
      <c r="Y29" s="18">
        <f>EST_FEC!$B209*$D$7/SUM($D$5:$D$8)</f>
        <v>19.886176002960219</v>
      </c>
      <c r="Z29" s="18">
        <f t="shared" si="7"/>
        <v>0</v>
      </c>
      <c r="AA29" s="18">
        <f t="shared" si="8"/>
        <v>19.886176002960219</v>
      </c>
      <c r="AB29" s="21">
        <f t="shared" si="9"/>
        <v>0</v>
      </c>
      <c r="AC29" s="21">
        <f t="shared" si="81"/>
        <v>0</v>
      </c>
      <c r="AD29" s="18">
        <f>EST_FEC!$B209*$D$8/SUM($D$5:$D$8)</f>
        <v>65.040209750270691</v>
      </c>
      <c r="AE29" s="18">
        <f t="shared" si="10"/>
        <v>0</v>
      </c>
      <c r="AF29" s="18">
        <f t="shared" si="11"/>
        <v>65.040209750270691</v>
      </c>
      <c r="AG29" s="21">
        <f t="shared" si="12"/>
        <v>0</v>
      </c>
      <c r="AH29" s="21">
        <f t="shared" si="13"/>
        <v>0.521497898064468</v>
      </c>
      <c r="AI29" s="18">
        <f t="shared" si="14"/>
        <v>4677.7462360184636</v>
      </c>
      <c r="AJ29" s="21">
        <f t="shared" si="15"/>
        <v>0.43188849728498813</v>
      </c>
      <c r="AL29" s="21">
        <f t="shared" si="82"/>
        <v>0.73749424422996546</v>
      </c>
      <c r="AM29" s="18">
        <f>EST_FEC!B156*$D$9/SUM($D$9:$D$13)</f>
        <v>10880.960267953458</v>
      </c>
      <c r="AN29" s="18">
        <f t="shared" si="16"/>
        <v>3753.6782803811702</v>
      </c>
      <c r="AO29" s="18">
        <f t="shared" si="17"/>
        <v>7093.9150402553505</v>
      </c>
      <c r="AP29" s="21">
        <f t="shared" si="18"/>
        <v>0.52914057457418517</v>
      </c>
      <c r="AQ29" s="21">
        <f t="shared" si="83"/>
        <v>1</v>
      </c>
      <c r="AR29" s="18">
        <f>EST_FEC!$B156*$D$10/SUM($D$9:$D$13)</f>
        <v>9.2658933490203079</v>
      </c>
      <c r="AS29" s="18">
        <f t="shared" si="19"/>
        <v>9.2658933490203079</v>
      </c>
      <c r="AT29" s="18">
        <f t="shared" si="20"/>
        <v>9.2658933490203079</v>
      </c>
      <c r="AU29" s="21">
        <f t="shared" si="21"/>
        <v>1</v>
      </c>
      <c r="AV29" s="18">
        <f t="shared" si="84"/>
        <v>0.75112294441556715</v>
      </c>
      <c r="AW29" s="18">
        <f>EST_FEC!$B156*$D$11/SUM($D$9:$D$13)</f>
        <v>1845.0230343186511</v>
      </c>
      <c r="AX29" s="18">
        <f t="shared" si="22"/>
        <v>732.46608349169026</v>
      </c>
      <c r="AY29" s="18">
        <f t="shared" si="23"/>
        <v>1339.2043129992189</v>
      </c>
      <c r="AZ29" s="21">
        <f t="shared" si="24"/>
        <v>0.54694125189254628</v>
      </c>
      <c r="BA29" s="18">
        <f t="shared" si="85"/>
        <v>0.96127163935751381</v>
      </c>
      <c r="BB29" s="18">
        <f>EST_FEC!$B156*$D$12/SUM($D$9:$D$13)</f>
        <v>583.05104983630918</v>
      </c>
      <c r="BC29" s="18">
        <f t="shared" si="25"/>
        <v>560.47043850526836</v>
      </c>
      <c r="BD29" s="18">
        <f t="shared" si="26"/>
        <v>583.05104983630918</v>
      </c>
      <c r="BE29" s="21">
        <f t="shared" si="27"/>
        <v>0.9612716393575137</v>
      </c>
      <c r="BF29" s="18">
        <f t="shared" si="86"/>
        <v>0.99999970924860726</v>
      </c>
      <c r="BG29" s="18">
        <f>EST_FEC!$B156*$D$13/SUM($D$9:$D$13)</f>
        <v>2711.592670340714</v>
      </c>
      <c r="BH29" s="18">
        <f t="shared" si="28"/>
        <v>2711.5918819413687</v>
      </c>
      <c r="BI29" s="18">
        <f t="shared" si="29"/>
        <v>2711.592670340714</v>
      </c>
      <c r="BJ29" s="21">
        <f t="shared" si="30"/>
        <v>0.99999970924860726</v>
      </c>
      <c r="BK29" s="21">
        <f t="shared" si="31"/>
        <v>0.66179205995425616</v>
      </c>
      <c r="BL29" s="18">
        <f t="shared" si="32"/>
        <v>4292.8639490175374</v>
      </c>
      <c r="BM29" s="21">
        <f t="shared" si="33"/>
        <v>0.26780365730245986</v>
      </c>
      <c r="BO29" s="21">
        <f t="shared" si="87"/>
        <v>0.71081609748515961</v>
      </c>
      <c r="BP29" s="18">
        <f>EST_FEC!$B103*$D$14/SUM($D$14:$D$26)</f>
        <v>4.647910765435876</v>
      </c>
      <c r="BQ29" s="18">
        <f t="shared" si="34"/>
        <v>2.6745126885566015</v>
      </c>
      <c r="BR29" s="18">
        <f t="shared" si="35"/>
        <v>4.3066352994652624</v>
      </c>
      <c r="BS29" s="21">
        <f t="shared" si="36"/>
        <v>0.62102140129875516</v>
      </c>
      <c r="BT29" s="21">
        <f t="shared" si="88"/>
        <v>0.75018299949588618</v>
      </c>
      <c r="BU29" s="18">
        <f>EST_FEC!$B103*$D$15/SUM($D$14:D$26)</f>
        <v>201.18813741815293</v>
      </c>
      <c r="BV29" s="18">
        <f t="shared" si="37"/>
        <v>102.30836267431712</v>
      </c>
      <c r="BW29" s="18">
        <f t="shared" si="38"/>
        <v>169.83565829284356</v>
      </c>
      <c r="BX29" s="21">
        <f t="shared" si="39"/>
        <v>0.60239624412624382</v>
      </c>
      <c r="BY29" s="21">
        <f t="shared" si="89"/>
        <v>0.92776487070931868</v>
      </c>
      <c r="BZ29" s="18">
        <f>EST_FEC!$B103*$D$16/SUM($D$14:D$26)</f>
        <v>4.647910765435876</v>
      </c>
      <c r="CA29" s="18">
        <f t="shared" si="40"/>
        <v>3.3671701034996904</v>
      </c>
      <c r="CB29" s="18">
        <f t="shared" si="41"/>
        <v>3.7924231787533893</v>
      </c>
      <c r="CC29" s="21">
        <f t="shared" si="42"/>
        <v>0.88786771538679288</v>
      </c>
      <c r="CD29" s="21">
        <f t="shared" si="90"/>
        <v>0.62888607472414604</v>
      </c>
      <c r="CE29" s="18">
        <f>EST_FEC!$B103*$D$17/SUM($D$16:D$26)</f>
        <v>303.20935708206559</v>
      </c>
      <c r="CF29" s="18">
        <f t="shared" si="43"/>
        <v>141.18661870469307</v>
      </c>
      <c r="CG29" s="18">
        <f t="shared" si="44"/>
        <v>272.94610317916079</v>
      </c>
      <c r="CH29" s="21">
        <f t="shared" si="45"/>
        <v>0.51726922297190192</v>
      </c>
      <c r="CI29" s="21">
        <f t="shared" si="91"/>
        <v>0.86642939647138584</v>
      </c>
      <c r="CJ29" s="18">
        <f>EST_FEC!$B103*$D$18/SUM($D$16:D$26)</f>
        <v>67.379857129347911</v>
      </c>
      <c r="CK29" s="18">
        <f t="shared" si="46"/>
        <v>40.962179824083805</v>
      </c>
      <c r="CL29" s="18">
        <f t="shared" si="47"/>
        <v>53.888053558374153</v>
      </c>
      <c r="CM29" s="21">
        <f t="shared" si="48"/>
        <v>0.76013470740247813</v>
      </c>
      <c r="CN29" s="21">
        <f t="shared" si="92"/>
        <v>0.93660263001149968</v>
      </c>
      <c r="CO29" s="18">
        <f>EST_FEC!$B103*$D$19/SUM($D$16:$D$26)</f>
        <v>275.13441661150398</v>
      </c>
      <c r="CP29" s="18">
        <f t="shared" si="49"/>
        <v>203.57287099007644</v>
      </c>
      <c r="CQ29" s="18">
        <f t="shared" si="50"/>
        <v>231.77141900495806</v>
      </c>
      <c r="CR29" s="21">
        <f t="shared" si="51"/>
        <v>0.87833466207376332</v>
      </c>
      <c r="CS29" s="18">
        <f t="shared" si="93"/>
        <v>0.92724718643102344</v>
      </c>
      <c r="CT29" s="18">
        <f>EST_FEC!$B103*$D$20/SUM($D$16:D$26)</f>
        <v>25.267446423505469</v>
      </c>
      <c r="CU29" s="18">
        <f t="shared" si="52"/>
        <v>16.730161877578045</v>
      </c>
      <c r="CV29" s="18">
        <f t="shared" si="53"/>
        <v>20.410535330389916</v>
      </c>
      <c r="CW29" s="21">
        <f t="shared" si="54"/>
        <v>0.81968265931114304</v>
      </c>
      <c r="CX29" s="21">
        <f t="shared" si="94"/>
        <v>0.82808863779261266</v>
      </c>
      <c r="CY29" s="18">
        <f>EST_FEC!$B103*$D$21/SUM($D$14:$D$26)</f>
        <v>526.54189099866426</v>
      </c>
      <c r="CZ29" s="18">
        <f t="shared" si="55"/>
        <v>275.68992601396729</v>
      </c>
      <c r="DA29" s="18">
        <f t="shared" si="56"/>
        <v>418.77313161817347</v>
      </c>
      <c r="DB29" s="21">
        <f t="shared" si="57"/>
        <v>0.65832763661001603</v>
      </c>
      <c r="DC29" s="21">
        <f t="shared" si="95"/>
        <v>0.89968346700928525</v>
      </c>
      <c r="DD29" s="18">
        <f>EST_FEC!$B103*$D$22/SUM($D$14:$D$26)</f>
        <v>618.17213180297153</v>
      </c>
      <c r="DE29" s="18">
        <f t="shared" si="58"/>
        <v>323.54011604647513</v>
      </c>
      <c r="DF29" s="18">
        <f t="shared" si="59"/>
        <v>413.72856541602692</v>
      </c>
      <c r="DG29" s="21">
        <f t="shared" si="60"/>
        <v>0.78201058155396563</v>
      </c>
      <c r="DH29" s="21">
        <f t="shared" si="96"/>
        <v>0.55049070562642555</v>
      </c>
      <c r="DI29" s="18">
        <f>EST_FEC!$B103*$D$23/SUM($D$14:$D$26)</f>
        <v>1367.1497522903526</v>
      </c>
      <c r="DJ29" s="18">
        <f t="shared" si="61"/>
        <v>400.38930556211636</v>
      </c>
      <c r="DK29" s="18">
        <f t="shared" si="62"/>
        <v>1217.7451318205606</v>
      </c>
      <c r="DL29" s="21">
        <f t="shared" si="63"/>
        <v>0.32879565280094691</v>
      </c>
      <c r="DM29" s="21">
        <f t="shared" si="97"/>
        <v>0.60203104311162425</v>
      </c>
      <c r="DN29" s="18">
        <f>EST_FEC!$B103*$D$24/SUM($D$14:$D$26)</f>
        <v>227.74762750635793</v>
      </c>
      <c r="DO29" s="18">
        <f t="shared" si="64"/>
        <v>59.189640698229205</v>
      </c>
      <c r="DP29" s="18">
        <f t="shared" si="65"/>
        <v>168.89137453687505</v>
      </c>
      <c r="DQ29" s="21">
        <f t="shared" si="66"/>
        <v>0.35045981987260089</v>
      </c>
      <c r="DR29" s="21">
        <f t="shared" si="98"/>
        <v>0.91257491952785497</v>
      </c>
      <c r="DS29" s="18">
        <f>EST_FEC!$B103*$D$25/SUM($D$14:$D$26)</f>
        <v>51.127018419794638</v>
      </c>
      <c r="DT29" s="18">
        <f t="shared" si="67"/>
        <v>31.387594266278189</v>
      </c>
      <c r="DU29" s="18">
        <f t="shared" si="68"/>
        <v>38.904957761146434</v>
      </c>
      <c r="DV29" s="21">
        <f t="shared" si="69"/>
        <v>0.80677620726334065</v>
      </c>
      <c r="DW29" s="21">
        <f t="shared" si="99"/>
        <v>0.78542879961540313</v>
      </c>
      <c r="DX29" s="18">
        <f>EST_FEC!$B103*$D$26/SUM($D$14:$D$26)</f>
        <v>177.28459633876841</v>
      </c>
      <c r="DY29" s="18">
        <f t="shared" si="70"/>
        <v>109.37246559945704</v>
      </c>
      <c r="DZ29" s="18">
        <f t="shared" si="71"/>
        <v>167.90981984695844</v>
      </c>
      <c r="EA29" s="21">
        <f t="shared" si="72"/>
        <v>0.65137623099795283</v>
      </c>
      <c r="EB29" s="21">
        <f t="shared" si="73"/>
        <v>0.53736180160301072</v>
      </c>
      <c r="EC29" s="18">
        <f t="shared" si="74"/>
        <v>666.59424470867134</v>
      </c>
      <c r="ED29" s="21">
        <f t="shared" si="75"/>
        <v>0.17316393863182533</v>
      </c>
    </row>
    <row r="30" spans="1:134" x14ac:dyDescent="0.35">
      <c r="A30" s="77" t="s">
        <v>128</v>
      </c>
      <c r="B30" s="23" t="s">
        <v>154</v>
      </c>
      <c r="C30" s="18">
        <f>83.642*0.27778</f>
        <v>23.234074760000002</v>
      </c>
      <c r="D30" s="18">
        <f>573.592*0.27778</f>
        <v>159.33238576000002</v>
      </c>
      <c r="E30" s="21">
        <f t="shared" ref="E30:E51" si="102">IF(D30=0,0,C30/D30)</f>
        <v>0.1458214201034882</v>
      </c>
      <c r="M30" s="47">
        <f t="shared" si="77"/>
        <v>2047</v>
      </c>
      <c r="N30" s="21">
        <f t="shared" si="78"/>
        <v>0.86721727760068434</v>
      </c>
      <c r="O30" s="18">
        <f>EST_FEC!B210*D$5/SUM(D$5:D$8)</f>
        <v>119.0563932298288</v>
      </c>
      <c r="P30" s="18">
        <f t="shared" si="1"/>
        <v>71.986244187592277</v>
      </c>
      <c r="Q30" s="18">
        <f t="shared" si="2"/>
        <v>90.395810274180306</v>
      </c>
      <c r="R30" s="21">
        <f t="shared" si="3"/>
        <v>0.79634491874402347</v>
      </c>
      <c r="S30" s="21">
        <f t="shared" si="79"/>
        <v>0.75018807535891585</v>
      </c>
      <c r="T30" s="18">
        <f>EST_FEC!B210*D$6/SUM(D$5:D$8)</f>
        <v>10670.639849906833</v>
      </c>
      <c r="U30" s="18">
        <f t="shared" si="4"/>
        <v>3219.3793572691566</v>
      </c>
      <c r="V30" s="18">
        <f t="shared" si="5"/>
        <v>5899.1095934208843</v>
      </c>
      <c r="W30" s="21">
        <f t="shared" si="6"/>
        <v>0.5457398792623962</v>
      </c>
      <c r="X30" s="21">
        <f t="shared" si="80"/>
        <v>0</v>
      </c>
      <c r="Y30" s="18">
        <f>EST_FEC!$B210*$D$7/SUM($D$5:$D$8)</f>
        <v>19.967065798834646</v>
      </c>
      <c r="Z30" s="18">
        <f t="shared" si="7"/>
        <v>0</v>
      </c>
      <c r="AA30" s="18">
        <f t="shared" si="8"/>
        <v>19.967065798834646</v>
      </c>
      <c r="AB30" s="21">
        <f t="shared" si="9"/>
        <v>0</v>
      </c>
      <c r="AC30" s="21">
        <f t="shared" si="81"/>
        <v>0</v>
      </c>
      <c r="AD30" s="18">
        <f>EST_FEC!$B210*$D$8/SUM($D$5:$D$8)</f>
        <v>65.304769879354637</v>
      </c>
      <c r="AE30" s="18">
        <f t="shared" si="10"/>
        <v>0</v>
      </c>
      <c r="AF30" s="18">
        <f t="shared" si="11"/>
        <v>65.304769879354637</v>
      </c>
      <c r="AG30" s="21">
        <f t="shared" si="12"/>
        <v>0</v>
      </c>
      <c r="AH30" s="21">
        <f t="shared" si="13"/>
        <v>0.54180844362884417</v>
      </c>
      <c r="AI30" s="18">
        <f t="shared" si="14"/>
        <v>4800.1908394415977</v>
      </c>
      <c r="AJ30" s="21">
        <f t="shared" si="15"/>
        <v>0.44139815442701696</v>
      </c>
      <c r="AL30" s="21">
        <f t="shared" si="82"/>
        <v>0.74842274207667892</v>
      </c>
      <c r="AM30" s="18">
        <f>EST_FEC!B157*$D$9/SUM($D$9:$D$13)</f>
        <v>10911.221741946651</v>
      </c>
      <c r="AN30" s="18">
        <f t="shared" si="16"/>
        <v>3819.8960552912449</v>
      </c>
      <c r="AO30" s="18">
        <f t="shared" si="17"/>
        <v>7029.9768061639388</v>
      </c>
      <c r="AP30" s="21">
        <f t="shared" si="18"/>
        <v>0.54337249760794804</v>
      </c>
      <c r="AQ30" s="21">
        <f t="shared" si="83"/>
        <v>1</v>
      </c>
      <c r="AR30" s="18">
        <f>EST_FEC!$B157*$D$10/SUM($D$9:$D$13)</f>
        <v>9.2916630957797821</v>
      </c>
      <c r="AS30" s="18">
        <f t="shared" si="19"/>
        <v>9.2916630957797821</v>
      </c>
      <c r="AT30" s="18">
        <f t="shared" si="20"/>
        <v>9.2916630957797821</v>
      </c>
      <c r="AU30" s="21">
        <f t="shared" si="21"/>
        <v>1</v>
      </c>
      <c r="AV30" s="18">
        <f t="shared" si="84"/>
        <v>0.7587415729618201</v>
      </c>
      <c r="AW30" s="18">
        <f>EST_FEC!$B157*$D$11/SUM($D$9:$D$13)</f>
        <v>1850.1543017063568</v>
      </c>
      <c r="AX30" s="18">
        <f t="shared" si="22"/>
        <v>741.95322869667496</v>
      </c>
      <c r="AY30" s="18">
        <f t="shared" si="23"/>
        <v>1331.7537459943683</v>
      </c>
      <c r="AZ30" s="21">
        <f t="shared" si="24"/>
        <v>0.55712494215113895</v>
      </c>
      <c r="BA30" s="18">
        <f t="shared" si="85"/>
        <v>0.97067721804088358</v>
      </c>
      <c r="BB30" s="18">
        <f>EST_FEC!$B157*$D$12/SUM($D$9:$D$13)</f>
        <v>584.67259644128023</v>
      </c>
      <c r="BC30" s="18">
        <f t="shared" si="25"/>
        <v>567.52836937836207</v>
      </c>
      <c r="BD30" s="18">
        <f t="shared" si="26"/>
        <v>584.67259644128023</v>
      </c>
      <c r="BE30" s="21">
        <f t="shared" si="27"/>
        <v>0.97067721804088347</v>
      </c>
      <c r="BF30" s="18">
        <f t="shared" si="86"/>
        <v>0.99999977986055821</v>
      </c>
      <c r="BG30" s="18">
        <f>EST_FEC!$B157*$D$13/SUM($D$9:$D$13)</f>
        <v>2719.1339892181768</v>
      </c>
      <c r="BH30" s="18">
        <f t="shared" si="28"/>
        <v>2719.1333906295381</v>
      </c>
      <c r="BI30" s="18">
        <f t="shared" si="29"/>
        <v>2719.1339892181768</v>
      </c>
      <c r="BJ30" s="21">
        <f t="shared" si="30"/>
        <v>0.9999997798605581</v>
      </c>
      <c r="BK30" s="21">
        <f t="shared" si="31"/>
        <v>0.67305506925092851</v>
      </c>
      <c r="BL30" s="18">
        <f t="shared" si="32"/>
        <v>4399.6454914947008</v>
      </c>
      <c r="BM30" s="21">
        <f t="shared" si="33"/>
        <v>0.27370384943615816</v>
      </c>
      <c r="BO30" s="21">
        <f t="shared" si="87"/>
        <v>0.71481275842722525</v>
      </c>
      <c r="BP30" s="18">
        <f>EST_FEC!$B104*$D$14/SUM($D$14:$D$26)</f>
        <v>4.6419944622898015</v>
      </c>
      <c r="BQ30" s="18">
        <f t="shared" si="34"/>
        <v>2.6861269869183673</v>
      </c>
      <c r="BR30" s="18">
        <f t="shared" si="35"/>
        <v>4.2936440678927177</v>
      </c>
      <c r="BS30" s="21">
        <f t="shared" si="36"/>
        <v>0.62560541685438176</v>
      </c>
      <c r="BT30" s="21">
        <f t="shared" si="88"/>
        <v>0.75534058399745496</v>
      </c>
      <c r="BU30" s="18">
        <f>EST_FEC!$B104*$D$15/SUM($D$14:D$26)</f>
        <v>200.93204601054427</v>
      </c>
      <c r="BV30" s="18">
        <f t="shared" si="37"/>
        <v>102.88061993441994</v>
      </c>
      <c r="BW30" s="18">
        <f t="shared" si="38"/>
        <v>168.9296035332749</v>
      </c>
      <c r="BX30" s="21">
        <f t="shared" si="39"/>
        <v>0.60901474805246336</v>
      </c>
      <c r="BY30" s="21">
        <f t="shared" si="89"/>
        <v>0.93611303558185166</v>
      </c>
      <c r="BZ30" s="18">
        <f>EST_FEC!$B104*$D$16/SUM($D$14:D$26)</f>
        <v>4.6419944622898015</v>
      </c>
      <c r="CA30" s="18">
        <f t="shared" si="40"/>
        <v>3.3931437746363158</v>
      </c>
      <c r="CB30" s="18">
        <f t="shared" si="41"/>
        <v>3.7687718959529812</v>
      </c>
      <c r="CC30" s="21">
        <f t="shared" si="42"/>
        <v>0.90033142581008263</v>
      </c>
      <c r="CD30" s="21">
        <f t="shared" si="90"/>
        <v>0.63399392118339204</v>
      </c>
      <c r="CE30" s="18">
        <f>EST_FEC!$B104*$D$17/SUM($D$16:D$26)</f>
        <v>302.82340335710086</v>
      </c>
      <c r="CF30" s="18">
        <f t="shared" si="43"/>
        <v>142.15216857553648</v>
      </c>
      <c r="CG30" s="18">
        <f t="shared" si="44"/>
        <v>271.93276666034001</v>
      </c>
      <c r="CH30" s="21">
        <f t="shared" si="45"/>
        <v>0.52274748027365481</v>
      </c>
      <c r="CI30" s="21">
        <f t="shared" si="91"/>
        <v>0.87243504157000384</v>
      </c>
      <c r="CJ30" s="18">
        <f>EST_FEC!$B104*$D$18/SUM($D$16:D$26)</f>
        <v>67.294089634911302</v>
      </c>
      <c r="CK30" s="18">
        <f t="shared" si="46"/>
        <v>41.193606715957166</v>
      </c>
      <c r="CL30" s="18">
        <f t="shared" si="47"/>
        <v>53.522589589603669</v>
      </c>
      <c r="CM30" s="21">
        <f t="shared" si="48"/>
        <v>0.76964898432266238</v>
      </c>
      <c r="CN30" s="21">
        <f t="shared" si="92"/>
        <v>0.94080317663504309</v>
      </c>
      <c r="CO30" s="18">
        <f>EST_FEC!$B104*$D$19/SUM($D$16:$D$26)</f>
        <v>274.78419934255447</v>
      </c>
      <c r="CP30" s="18">
        <f t="shared" si="49"/>
        <v>204.22558099063048</v>
      </c>
      <c r="CQ30" s="18">
        <f t="shared" si="50"/>
        <v>230.52225019974449</v>
      </c>
      <c r="CR30" s="21">
        <f t="shared" si="51"/>
        <v>0.88592567881699791</v>
      </c>
      <c r="CS30" s="18">
        <f t="shared" si="93"/>
        <v>0.93053518525813561</v>
      </c>
      <c r="CT30" s="18">
        <f>EST_FEC!$B104*$D$20/SUM($D$16:D$26)</f>
        <v>25.235283613091738</v>
      </c>
      <c r="CU30" s="18">
        <f t="shared" si="52"/>
        <v>16.768115419792384</v>
      </c>
      <c r="CV30" s="18">
        <f t="shared" si="53"/>
        <v>20.27768465406179</v>
      </c>
      <c r="CW30" s="21">
        <f t="shared" si="54"/>
        <v>0.82692455799846898</v>
      </c>
      <c r="CX30" s="21">
        <f t="shared" si="94"/>
        <v>0.83284316354089727</v>
      </c>
      <c r="CY30" s="18">
        <f>EST_FEC!$B104*$D$21/SUM($D$14:$D$26)</f>
        <v>525.87165837083035</v>
      </c>
      <c r="CZ30" s="18">
        <f t="shared" si="55"/>
        <v>276.91987875010568</v>
      </c>
      <c r="DA30" s="18">
        <f t="shared" si="56"/>
        <v>415.86876165773651</v>
      </c>
      <c r="DB30" s="21">
        <f t="shared" si="57"/>
        <v>0.66588285603912001</v>
      </c>
      <c r="DC30" s="21">
        <f t="shared" si="95"/>
        <v>0.9080336009644755</v>
      </c>
      <c r="DD30" s="18">
        <f>EST_FEC!$B104*$D$22/SUM($D$14:$D$26)</f>
        <v>617.38526348454354</v>
      </c>
      <c r="DE30" s="18">
        <f t="shared" si="58"/>
        <v>326.12729866152688</v>
      </c>
      <c r="DF30" s="18">
        <f t="shared" si="59"/>
        <v>408.70340942776556</v>
      </c>
      <c r="DG30" s="21">
        <f t="shared" si="60"/>
        <v>0.79795590430269403</v>
      </c>
      <c r="DH30" s="21">
        <f t="shared" si="96"/>
        <v>0.55350780727386084</v>
      </c>
      <c r="DI30" s="18">
        <f>EST_FEC!$B104*$D$23/SUM($D$14:$D$26)</f>
        <v>1365.409513979243</v>
      </c>
      <c r="DJ30" s="18">
        <f t="shared" si="61"/>
        <v>402.07129214412259</v>
      </c>
      <c r="DK30" s="18">
        <f t="shared" si="62"/>
        <v>1212.9076096381905</v>
      </c>
      <c r="DL30" s="21">
        <f t="shared" si="63"/>
        <v>0.33149375018272015</v>
      </c>
      <c r="DM30" s="21">
        <f t="shared" si="97"/>
        <v>0.60934313955593811</v>
      </c>
      <c r="DN30" s="18">
        <f>EST_FEC!$B104*$D$24/SUM($D$14:$D$26)</f>
        <v>227.45772865220027</v>
      </c>
      <c r="DO30" s="18">
        <f t="shared" si="64"/>
        <v>59.832283811799677</v>
      </c>
      <c r="DP30" s="18">
        <f t="shared" si="65"/>
        <v>167.3813358873617</v>
      </c>
      <c r="DQ30" s="21">
        <f t="shared" si="66"/>
        <v>0.3574609050322281</v>
      </c>
      <c r="DR30" s="21">
        <f t="shared" si="98"/>
        <v>0.91779423232266499</v>
      </c>
      <c r="DS30" s="18">
        <f>EST_FEC!$B104*$D$25/SUM($D$14:$D$26)</f>
        <v>51.061939085187817</v>
      </c>
      <c r="DT30" s="18">
        <f t="shared" si="67"/>
        <v>31.526928505328648</v>
      </c>
      <c r="DU30" s="18">
        <f t="shared" si="68"/>
        <v>38.586504794368359</v>
      </c>
      <c r="DV30" s="21">
        <f t="shared" si="69"/>
        <v>0.81704545859592737</v>
      </c>
      <c r="DW30" s="21">
        <f t="shared" si="99"/>
        <v>0.78697525569261484</v>
      </c>
      <c r="DX30" s="18">
        <f>EST_FEC!$B104*$D$26/SUM($D$14:$D$26)</f>
        <v>177.05893163305387</v>
      </c>
      <c r="DY30" s="18">
        <f t="shared" si="70"/>
        <v>109.44831877505686</v>
      </c>
      <c r="DZ30" s="18">
        <f t="shared" si="71"/>
        <v>167.48980811279554</v>
      </c>
      <c r="EA30" s="21">
        <f t="shared" si="72"/>
        <v>0.65346255995080726</v>
      </c>
      <c r="EB30" s="21">
        <f t="shared" si="73"/>
        <v>0.54333912342334534</v>
      </c>
      <c r="EC30" s="18">
        <f t="shared" si="74"/>
        <v>680.41330596875287</v>
      </c>
      <c r="ED30" s="21">
        <f t="shared" si="75"/>
        <v>0.17697904899606423</v>
      </c>
    </row>
    <row r="31" spans="1:134" x14ac:dyDescent="0.35">
      <c r="A31" s="77"/>
      <c r="B31" s="23" t="s">
        <v>157</v>
      </c>
      <c r="C31" s="18">
        <f>130.59 *0.27778</f>
        <v>36.275290200000008</v>
      </c>
      <c r="D31" s="18">
        <f>33512.851*0.27778</f>
        <v>9309.1997507800024</v>
      </c>
      <c r="E31" s="21">
        <f t="shared" si="102"/>
        <v>3.8967141291560061E-3</v>
      </c>
      <c r="M31" s="47">
        <f t="shared" si="77"/>
        <v>2048</v>
      </c>
      <c r="N31" s="21">
        <f t="shared" si="78"/>
        <v>0.87536482230376511</v>
      </c>
      <c r="O31" s="18">
        <f>EST_FEC!B211*D$5/SUM(D$5:D$8)</f>
        <v>119.53127032998175</v>
      </c>
      <c r="P31" s="18">
        <f t="shared" si="1"/>
        <v>72.952385369565192</v>
      </c>
      <c r="Q31" s="18">
        <f t="shared" si="2"/>
        <v>90.301265020485388</v>
      </c>
      <c r="R31" s="21">
        <f t="shared" si="3"/>
        <v>0.80787777837902386</v>
      </c>
      <c r="S31" s="21">
        <f t="shared" si="79"/>
        <v>0.76248613431654477</v>
      </c>
      <c r="T31" s="18">
        <f>EST_FEC!B211*D$6/SUM(D$5:D$8)</f>
        <v>10713.201550049373</v>
      </c>
      <c r="U31" s="18">
        <f t="shared" si="4"/>
        <v>3285.2071731555047</v>
      </c>
      <c r="V31" s="18">
        <f t="shared" si="5"/>
        <v>5843.1786220225313</v>
      </c>
      <c r="W31" s="21">
        <f t="shared" si="6"/>
        <v>0.56222946202154234</v>
      </c>
      <c r="X31" s="21">
        <f t="shared" si="80"/>
        <v>0</v>
      </c>
      <c r="Y31" s="18">
        <f>EST_FEC!$B211*$D$7/SUM($D$5:$D$8)</f>
        <v>20.046707908324812</v>
      </c>
      <c r="Z31" s="18">
        <f t="shared" si="7"/>
        <v>0</v>
      </c>
      <c r="AA31" s="18">
        <f t="shared" si="8"/>
        <v>20.046707908324812</v>
      </c>
      <c r="AB31" s="21">
        <f t="shared" si="9"/>
        <v>0</v>
      </c>
      <c r="AC31" s="21">
        <f t="shared" si="81"/>
        <v>0</v>
      </c>
      <c r="AD31" s="18">
        <f>EST_FEC!$B211*$D$8/SUM($D$5:$D$8)</f>
        <v>65.565249295076555</v>
      </c>
      <c r="AE31" s="18">
        <f t="shared" si="10"/>
        <v>0</v>
      </c>
      <c r="AF31" s="18">
        <f t="shared" si="11"/>
        <v>65.565249295076555</v>
      </c>
      <c r="AG31" s="21">
        <f t="shared" si="12"/>
        <v>0</v>
      </c>
      <c r="AH31" s="21">
        <f t="shared" si="13"/>
        <v>0.55791797922723119</v>
      </c>
      <c r="AI31" s="18">
        <f t="shared" si="14"/>
        <v>4899.2529333363373</v>
      </c>
      <c r="AJ31" s="21">
        <f t="shared" si="15"/>
        <v>0.44871755134490243</v>
      </c>
      <c r="AL31" s="21">
        <f t="shared" si="82"/>
        <v>0.75683443421584673</v>
      </c>
      <c r="AM31" s="18">
        <f>EST_FEC!B158*$D$9/SUM($D$9:$D$13)</f>
        <v>10940.706867087885</v>
      </c>
      <c r="AN31" s="18">
        <f t="shared" si="16"/>
        <v>3873.2671560304766</v>
      </c>
      <c r="AO31" s="18">
        <f t="shared" si="17"/>
        <v>6984.4007040341803</v>
      </c>
      <c r="AP31" s="21">
        <f t="shared" si="18"/>
        <v>0.55455969955923101</v>
      </c>
      <c r="AQ31" s="21">
        <f t="shared" si="83"/>
        <v>1</v>
      </c>
      <c r="AR31" s="18">
        <f>EST_FEC!$B158*$D$10/SUM($D$9:$D$13)</f>
        <v>9.3167717275745208</v>
      </c>
      <c r="AS31" s="18">
        <f t="shared" si="19"/>
        <v>9.3167717275745208</v>
      </c>
      <c r="AT31" s="18">
        <f t="shared" si="20"/>
        <v>9.3167717275745208</v>
      </c>
      <c r="AU31" s="21">
        <f t="shared" si="21"/>
        <v>1</v>
      </c>
      <c r="AV31" s="18">
        <f t="shared" si="84"/>
        <v>0.76460565041808515</v>
      </c>
      <c r="AW31" s="18">
        <f>EST_FEC!$B158*$D$11/SUM($D$9:$D$13)</f>
        <v>1855.1539279999633</v>
      </c>
      <c r="AX31" s="18">
        <f t="shared" si="22"/>
        <v>749.70801188482017</v>
      </c>
      <c r="AY31" s="18">
        <f t="shared" si="23"/>
        <v>1326.7277793214078</v>
      </c>
      <c r="AZ31" s="21">
        <f t="shared" si="24"/>
        <v>0.56508051129243664</v>
      </c>
      <c r="BA31" s="18">
        <f t="shared" si="85"/>
        <v>0.977916715489201</v>
      </c>
      <c r="BB31" s="18">
        <f>EST_FEC!$B158*$D$12/SUM($D$9:$D$13)</f>
        <v>586.25254276447231</v>
      </c>
      <c r="BC31" s="18">
        <f t="shared" si="25"/>
        <v>573.30616106742514</v>
      </c>
      <c r="BD31" s="18">
        <f t="shared" si="26"/>
        <v>586.25254276447231</v>
      </c>
      <c r="BE31" s="21">
        <f t="shared" si="27"/>
        <v>0.977916715489201</v>
      </c>
      <c r="BF31" s="18">
        <f t="shared" si="86"/>
        <v>0.99999983421075356</v>
      </c>
      <c r="BG31" s="18">
        <f>EST_FEC!$B158*$D$13/SUM($D$9:$D$13)</f>
        <v>2726.4818378683121</v>
      </c>
      <c r="BH31" s="18">
        <f t="shared" si="28"/>
        <v>2726.4813858469429</v>
      </c>
      <c r="BI31" s="18">
        <f t="shared" si="29"/>
        <v>2726.4818378683121</v>
      </c>
      <c r="BJ31" s="21">
        <f t="shared" si="30"/>
        <v>0.99999983421075356</v>
      </c>
      <c r="BK31" s="21">
        <f t="shared" si="31"/>
        <v>0.68184965202500036</v>
      </c>
      <c r="BL31" s="18">
        <f t="shared" si="32"/>
        <v>4484.7323117322594</v>
      </c>
      <c r="BM31" s="21">
        <f t="shared" si="33"/>
        <v>0.27824524208560919</v>
      </c>
      <c r="BO31" s="21">
        <f t="shared" si="87"/>
        <v>0.71788899835524078</v>
      </c>
      <c r="BP31" s="18">
        <f>EST_FEC!$B105*$D$14/SUM($D$14:$D$26)</f>
        <v>4.6357210804923072</v>
      </c>
      <c r="BQ31" s="18">
        <f t="shared" si="34"/>
        <v>2.6940411320567259</v>
      </c>
      <c r="BR31" s="18">
        <f t="shared" si="35"/>
        <v>4.2820693174265809</v>
      </c>
      <c r="BS31" s="21">
        <f t="shared" si="36"/>
        <v>0.62914468037518334</v>
      </c>
      <c r="BT31" s="21">
        <f t="shared" si="88"/>
        <v>0.75931038969421738</v>
      </c>
      <c r="BU31" s="18">
        <f>EST_FEC!$B105*$D$15/SUM($D$14:D$26)</f>
        <v>200.66049819845273</v>
      </c>
      <c r="BV31" s="18">
        <f t="shared" si="37"/>
        <v>103.28155663695145</v>
      </c>
      <c r="BW31" s="18">
        <f t="shared" si="38"/>
        <v>168.17102671648635</v>
      </c>
      <c r="BX31" s="21">
        <f t="shared" si="39"/>
        <v>0.61414595994035415</v>
      </c>
      <c r="BY31" s="21">
        <f t="shared" si="89"/>
        <v>0.94253863897398471</v>
      </c>
      <c r="BZ31" s="18">
        <f>EST_FEC!$B105*$D$16/SUM($D$14:D$26)</f>
        <v>4.6357210804923072</v>
      </c>
      <c r="CA31" s="18">
        <f t="shared" si="40"/>
        <v>3.4118176510880249</v>
      </c>
      <c r="CB31" s="18">
        <f t="shared" si="41"/>
        <v>3.7492093810630971</v>
      </c>
      <c r="CC31" s="21">
        <f t="shared" si="42"/>
        <v>0.91000989923923536</v>
      </c>
      <c r="CD31" s="21">
        <f t="shared" si="90"/>
        <v>0.63792544338451829</v>
      </c>
      <c r="CE31" s="18">
        <f>EST_FEC!$B105*$D$17/SUM($D$16:D$26)</f>
        <v>302.41415538364708</v>
      </c>
      <c r="CF31" s="18">
        <f t="shared" si="43"/>
        <v>142.84038081316945</v>
      </c>
      <c r="CG31" s="18">
        <f t="shared" si="44"/>
        <v>271.05340969268786</v>
      </c>
      <c r="CH31" s="21">
        <f t="shared" si="45"/>
        <v>0.52698241639947474</v>
      </c>
      <c r="CI31" s="21">
        <f t="shared" si="91"/>
        <v>0.87705760163043056</v>
      </c>
      <c r="CJ31" s="18">
        <f>EST_FEC!$B105*$D$18/SUM($D$16:D$26)</f>
        <v>67.203145640810476</v>
      </c>
      <c r="CK31" s="18">
        <f t="shared" si="46"/>
        <v>41.355903594301083</v>
      </c>
      <c r="CL31" s="18">
        <f t="shared" si="47"/>
        <v>53.222064093559197</v>
      </c>
      <c r="CM31" s="21">
        <f t="shared" si="48"/>
        <v>0.77704433863371847</v>
      </c>
      <c r="CN31" s="21">
        <f t="shared" si="92"/>
        <v>0.94403634788227841</v>
      </c>
      <c r="CO31" s="18">
        <f>EST_FEC!$B105*$D$19/SUM($D$16:$D$26)</f>
        <v>274.41284469997606</v>
      </c>
      <c r="CP31" s="18">
        <f t="shared" si="49"/>
        <v>204.65047682267584</v>
      </c>
      <c r="CQ31" s="18">
        <f t="shared" si="50"/>
        <v>229.47729531392579</v>
      </c>
      <c r="CR31" s="21">
        <f t="shared" si="51"/>
        <v>0.89181143843757282</v>
      </c>
      <c r="CS31" s="18">
        <f t="shared" si="93"/>
        <v>0.9330659661829751</v>
      </c>
      <c r="CT31" s="18">
        <f>EST_FEC!$B105*$D$20/SUM($D$16:D$26)</f>
        <v>25.201179615303925</v>
      </c>
      <c r="CU31" s="18">
        <f t="shared" si="52"/>
        <v>16.790996991454001</v>
      </c>
      <c r="CV31" s="18">
        <f t="shared" si="53"/>
        <v>20.16813346225376</v>
      </c>
      <c r="CW31" s="21">
        <f t="shared" si="54"/>
        <v>0.8325508665876129</v>
      </c>
      <c r="CX31" s="21">
        <f t="shared" si="94"/>
        <v>0.83650273390667673</v>
      </c>
      <c r="CY31" s="18">
        <f>EST_FEC!$B105*$D$21/SUM($D$14:$D$26)</f>
        <v>525.16097383291424</v>
      </c>
      <c r="CZ31" s="18">
        <f t="shared" si="55"/>
        <v>277.76079849010841</v>
      </c>
      <c r="DA31" s="18">
        <f t="shared" si="56"/>
        <v>413.48399860728119</v>
      </c>
      <c r="DB31" s="21">
        <f t="shared" si="57"/>
        <v>0.67175706780837252</v>
      </c>
      <c r="DC31" s="21">
        <f t="shared" si="95"/>
        <v>0.91446071996445732</v>
      </c>
      <c r="DD31" s="18">
        <f>EST_FEC!$B105*$D$22/SUM($D$14:$D$26)</f>
        <v>616.55090370547691</v>
      </c>
      <c r="DE31" s="18">
        <f t="shared" si="58"/>
        <v>327.99178680321069</v>
      </c>
      <c r="DF31" s="18">
        <f t="shared" si="59"/>
        <v>404.69322593612475</v>
      </c>
      <c r="DG31" s="21">
        <f t="shared" si="60"/>
        <v>0.81047016797602556</v>
      </c>
      <c r="DH31" s="21">
        <f t="shared" si="96"/>
        <v>0.55583007796163275</v>
      </c>
      <c r="DI31" s="18">
        <f>EST_FEC!$B105*$D$23/SUM($D$14:$D$26)</f>
        <v>1363.5642435333802</v>
      </c>
      <c r="DJ31" s="18">
        <f t="shared" si="61"/>
        <v>403.21254768174367</v>
      </c>
      <c r="DK31" s="18">
        <f t="shared" si="62"/>
        <v>1208.7414897528397</v>
      </c>
      <c r="DL31" s="21">
        <f t="shared" si="63"/>
        <v>0.33358046455755525</v>
      </c>
      <c r="DM31" s="21">
        <f t="shared" si="97"/>
        <v>0.61497127848630062</v>
      </c>
      <c r="DN31" s="18">
        <f>EST_FEC!$B105*$D$24/SUM($D$14:$D$26)</f>
        <v>227.15033294412305</v>
      </c>
      <c r="DO31" s="18">
        <f t="shared" si="64"/>
        <v>60.303312252807892</v>
      </c>
      <c r="DP31" s="18">
        <f t="shared" si="65"/>
        <v>166.15966790788428</v>
      </c>
      <c r="DQ31" s="21">
        <f t="shared" si="66"/>
        <v>0.36292388527304281</v>
      </c>
      <c r="DR31" s="21">
        <f t="shared" si="98"/>
        <v>0.921811550441199</v>
      </c>
      <c r="DS31" s="18">
        <f>EST_FEC!$B105*$D$25/SUM($D$14:$D$26)</f>
        <v>50.992931885415381</v>
      </c>
      <c r="DT31" s="18">
        <f t="shared" si="67"/>
        <v>31.622133150999577</v>
      </c>
      <c r="DU31" s="18">
        <f t="shared" si="68"/>
        <v>38.327640262608327</v>
      </c>
      <c r="DV31" s="21">
        <f t="shared" si="69"/>
        <v>0.82504774450853668</v>
      </c>
      <c r="DW31" s="21">
        <f t="shared" si="99"/>
        <v>0.78816556680496608</v>
      </c>
      <c r="DX31" s="18">
        <f>EST_FEC!$B105*$D$26/SUM($D$14:$D$26)</f>
        <v>176.81964692734942</v>
      </c>
      <c r="DY31" s="18">
        <f t="shared" si="70"/>
        <v>109.46572422278464</v>
      </c>
      <c r="DZ31" s="18">
        <f t="shared" si="71"/>
        <v>167.10489575047694</v>
      </c>
      <c r="EA31" s="21">
        <f t="shared" si="72"/>
        <v>0.65507191594338554</v>
      </c>
      <c r="EB31" s="21">
        <f t="shared" si="73"/>
        <v>0.54797776022602429</v>
      </c>
      <c r="EC31" s="18">
        <f t="shared" si="74"/>
        <v>690.76817233321617</v>
      </c>
      <c r="ED31" s="21">
        <f t="shared" si="75"/>
        <v>0.17991554899002946</v>
      </c>
    </row>
    <row r="32" spans="1:134" x14ac:dyDescent="0.35">
      <c r="A32" s="77"/>
      <c r="B32" s="23" t="s">
        <v>158</v>
      </c>
      <c r="C32" s="34">
        <v>0</v>
      </c>
      <c r="D32" s="34">
        <v>2</v>
      </c>
      <c r="E32" s="21">
        <f t="shared" si="102"/>
        <v>0</v>
      </c>
      <c r="M32" s="47">
        <f t="shared" si="77"/>
        <v>2049</v>
      </c>
      <c r="N32" s="21">
        <f t="shared" si="78"/>
        <v>0.88155335265853996</v>
      </c>
      <c r="O32" s="18">
        <f>EST_FEC!B212*D$5/SUM(D$5:D$8)</f>
        <v>119.9979300925057</v>
      </c>
      <c r="P32" s="18">
        <f t="shared" si="1"/>
        <v>73.75495936678135</v>
      </c>
      <c r="Q32" s="18">
        <f t="shared" si="2"/>
        <v>90.306780681627629</v>
      </c>
      <c r="R32" s="21">
        <f t="shared" si="3"/>
        <v>0.81671563098679201</v>
      </c>
      <c r="S32" s="21">
        <f t="shared" si="79"/>
        <v>0.77186318928534481</v>
      </c>
      <c r="T32" s="18">
        <f>EST_FEC!B212*D$6/SUM(D$5:D$8)</f>
        <v>10755.026756770723</v>
      </c>
      <c r="U32" s="18">
        <f t="shared" si="4"/>
        <v>3338.592098664898</v>
      </c>
      <c r="V32" s="18">
        <f t="shared" si="5"/>
        <v>5805.1670127241832</v>
      </c>
      <c r="W32" s="21">
        <f t="shared" si="6"/>
        <v>0.57510698509571412</v>
      </c>
      <c r="X32" s="21">
        <f t="shared" si="80"/>
        <v>0</v>
      </c>
      <c r="Y32" s="18">
        <f>EST_FEC!$B212*$D$7/SUM($D$5:$D$8)</f>
        <v>20.124971879970555</v>
      </c>
      <c r="Z32" s="18">
        <f t="shared" si="7"/>
        <v>0</v>
      </c>
      <c r="AA32" s="18">
        <f t="shared" si="8"/>
        <v>20.124971879970555</v>
      </c>
      <c r="AB32" s="21">
        <f t="shared" si="9"/>
        <v>0</v>
      </c>
      <c r="AC32" s="21">
        <f t="shared" si="81"/>
        <v>0</v>
      </c>
      <c r="AD32" s="18">
        <f>EST_FEC!$B212*$D$8/SUM($D$5:$D$8)</f>
        <v>65.821221339725597</v>
      </c>
      <c r="AE32" s="18">
        <f t="shared" si="10"/>
        <v>0</v>
      </c>
      <c r="AF32" s="18">
        <f t="shared" si="11"/>
        <v>65.821221339725597</v>
      </c>
      <c r="AG32" s="21">
        <f t="shared" si="12"/>
        <v>0</v>
      </c>
      <c r="AH32" s="21">
        <f t="shared" si="13"/>
        <v>0.570491131815139</v>
      </c>
      <c r="AI32" s="18">
        <f t="shared" si="14"/>
        <v>4979.5508934574173</v>
      </c>
      <c r="AJ32" s="21">
        <f t="shared" si="15"/>
        <v>0.45429834162826865</v>
      </c>
      <c r="AL32" s="21">
        <f t="shared" si="82"/>
        <v>0.76324820242441993</v>
      </c>
      <c r="AM32" s="18">
        <f>EST_FEC!B159*$D$9/SUM($D$9:$D$13)</f>
        <v>10969.347351558819</v>
      </c>
      <c r="AN32" s="18">
        <f t="shared" si="16"/>
        <v>3916.3163596773511</v>
      </c>
      <c r="AO32" s="18">
        <f t="shared" si="17"/>
        <v>6953.3197063052121</v>
      </c>
      <c r="AP32" s="21">
        <f t="shared" si="18"/>
        <v>0.56322972696423956</v>
      </c>
      <c r="AQ32" s="21">
        <f t="shared" si="83"/>
        <v>1</v>
      </c>
      <c r="AR32" s="18">
        <f>EST_FEC!$B159*$D$10/SUM($D$9:$D$13)</f>
        <v>9.3411610891783408</v>
      </c>
      <c r="AS32" s="18">
        <f t="shared" si="19"/>
        <v>9.3411610891783408</v>
      </c>
      <c r="AT32" s="18">
        <f t="shared" si="20"/>
        <v>9.3411610891783408</v>
      </c>
      <c r="AU32" s="21">
        <f t="shared" si="21"/>
        <v>1</v>
      </c>
      <c r="AV32" s="18">
        <f t="shared" si="84"/>
        <v>0.76907690696663078</v>
      </c>
      <c r="AW32" s="18">
        <f>EST_FEC!$B159*$D$11/SUM($D$9:$D$13)</f>
        <v>1860.0103333411857</v>
      </c>
      <c r="AX32" s="18">
        <f t="shared" si="22"/>
        <v>756.06620578620334</v>
      </c>
      <c r="AY32" s="18">
        <f t="shared" si="23"/>
        <v>1323.6074529508683</v>
      </c>
      <c r="AZ32" s="21">
        <f t="shared" si="24"/>
        <v>0.57121634069120653</v>
      </c>
      <c r="BA32" s="18">
        <f t="shared" si="85"/>
        <v>0.98343670573751985</v>
      </c>
      <c r="BB32" s="18">
        <f>EST_FEC!$B159*$D$12/SUM($D$9:$D$13)</f>
        <v>587.78722942147431</v>
      </c>
      <c r="BC32" s="18">
        <f t="shared" si="25"/>
        <v>578.05153657683854</v>
      </c>
      <c r="BD32" s="18">
        <f t="shared" si="26"/>
        <v>587.78722942147431</v>
      </c>
      <c r="BE32" s="21">
        <f t="shared" si="27"/>
        <v>0.98343670573751996</v>
      </c>
      <c r="BF32" s="18">
        <f t="shared" si="86"/>
        <v>0.99999987565182735</v>
      </c>
      <c r="BG32" s="18">
        <f>EST_FEC!$B159*$D$13/SUM($D$9:$D$13)</f>
        <v>2733.6191976099071</v>
      </c>
      <c r="BH32" s="18">
        <f t="shared" si="28"/>
        <v>2733.6188576893551</v>
      </c>
      <c r="BI32" s="18">
        <f t="shared" si="29"/>
        <v>2733.6191976099071</v>
      </c>
      <c r="BJ32" s="21">
        <f t="shared" si="30"/>
        <v>0.99999987565182735</v>
      </c>
      <c r="BK32" s="21">
        <f t="shared" si="31"/>
        <v>0.68863009127865593</v>
      </c>
      <c r="BL32" s="18">
        <f t="shared" si="32"/>
        <v>4552.4305256439256</v>
      </c>
      <c r="BM32" s="21">
        <f t="shared" si="33"/>
        <v>0.28170797459124525</v>
      </c>
      <c r="BO32" s="21">
        <f t="shared" si="87"/>
        <v>0.72023457752359599</v>
      </c>
      <c r="BP32" s="18">
        <f>EST_FEC!$B106*$D$14/SUM($D$14:$D$26)</f>
        <v>4.6290661146457461</v>
      </c>
      <c r="BQ32" s="18">
        <f t="shared" si="34"/>
        <v>2.6989632912372112</v>
      </c>
      <c r="BR32" s="18">
        <f t="shared" si="35"/>
        <v>4.2715272078797994</v>
      </c>
      <c r="BS32" s="21">
        <f t="shared" si="36"/>
        <v>0.6318497249083096</v>
      </c>
      <c r="BT32" s="21">
        <f t="shared" si="88"/>
        <v>0.76233729714052656</v>
      </c>
      <c r="BU32" s="18">
        <f>EST_FEC!$B106*$D$15/SUM($D$14:D$26)</f>
        <v>200.37243324823729</v>
      </c>
      <c r="BV32" s="18">
        <f t="shared" si="37"/>
        <v>103.54441683176117</v>
      </c>
      <c r="BW32" s="18">
        <f t="shared" si="38"/>
        <v>167.5258555460168</v>
      </c>
      <c r="BX32" s="21">
        <f t="shared" si="39"/>
        <v>0.61808021510637257</v>
      </c>
      <c r="BY32" s="21">
        <f t="shared" si="89"/>
        <v>0.94743804923241126</v>
      </c>
      <c r="BZ32" s="18">
        <f>EST_FEC!$B106*$D$16/SUM($D$14:D$26)</f>
        <v>4.6290661146457461</v>
      </c>
      <c r="CA32" s="18">
        <f t="shared" si="40"/>
        <v>3.4246292109883925</v>
      </c>
      <c r="CB32" s="18">
        <f t="shared" si="41"/>
        <v>3.7328103711384424</v>
      </c>
      <c r="CC32" s="21">
        <f t="shared" si="42"/>
        <v>0.91743991001180702</v>
      </c>
      <c r="CD32" s="21">
        <f t="shared" si="90"/>
        <v>0.64092316033465124</v>
      </c>
      <c r="CE32" s="18">
        <f>EST_FEC!$B106*$D$17/SUM($D$16:D$26)</f>
        <v>301.98001453680797</v>
      </c>
      <c r="CF32" s="18">
        <f t="shared" si="43"/>
        <v>143.30558840189516</v>
      </c>
      <c r="CG32" s="18">
        <f t="shared" si="44"/>
        <v>270.27456895239976</v>
      </c>
      <c r="CH32" s="21">
        <f t="shared" si="45"/>
        <v>0.53022224383654037</v>
      </c>
      <c r="CI32" s="21">
        <f t="shared" si="91"/>
        <v>0.88058222286802124</v>
      </c>
      <c r="CJ32" s="18">
        <f>EST_FEC!$B106*$D$18/SUM($D$16:D$26)</f>
        <v>67.106669897068457</v>
      </c>
      <c r="CK32" s="18">
        <f t="shared" si="46"/>
        <v>41.462491633563275</v>
      </c>
      <c r="CL32" s="18">
        <f t="shared" si="47"/>
        <v>52.971916068962294</v>
      </c>
      <c r="CM32" s="21">
        <f t="shared" si="48"/>
        <v>0.78272591800501801</v>
      </c>
      <c r="CN32" s="21">
        <f t="shared" si="92"/>
        <v>0.94650158443817101</v>
      </c>
      <c r="CO32" s="18">
        <f>EST_FEC!$B106*$D$19/SUM($D$16:$D$26)</f>
        <v>274.01890207969615</v>
      </c>
      <c r="CP32" s="18">
        <f t="shared" si="49"/>
        <v>204.8903366469815</v>
      </c>
      <c r="CQ32" s="18">
        <f t="shared" si="50"/>
        <v>228.5894460997759</v>
      </c>
      <c r="CR32" s="21">
        <f t="shared" si="51"/>
        <v>0.89632456853476039</v>
      </c>
      <c r="CS32" s="18">
        <f t="shared" si="93"/>
        <v>0.93499564239675592</v>
      </c>
      <c r="CT32" s="18">
        <f>EST_FEC!$B106*$D$20/SUM($D$16:D$26)</f>
        <v>25.165001211400668</v>
      </c>
      <c r="CU32" s="18">
        <f t="shared" si="52"/>
        <v>16.801567763348324</v>
      </c>
      <c r="CV32" s="18">
        <f t="shared" si="53"/>
        <v>20.076634611261117</v>
      </c>
      <c r="CW32" s="21">
        <f t="shared" si="54"/>
        <v>0.83687172121587616</v>
      </c>
      <c r="CX32" s="21">
        <f t="shared" si="94"/>
        <v>0.83929309233643667</v>
      </c>
      <c r="CY32" s="18">
        <f>EST_FEC!$B106*$D$21/SUM($D$14:$D$26)</f>
        <v>524.40706127343947</v>
      </c>
      <c r="CZ32" s="18">
        <f t="shared" si="55"/>
        <v>278.28725821357256</v>
      </c>
      <c r="DA32" s="18">
        <f t="shared" si="56"/>
        <v>411.50259478084706</v>
      </c>
      <c r="DB32" s="21">
        <f t="shared" si="57"/>
        <v>0.67627096825909283</v>
      </c>
      <c r="DC32" s="21">
        <f t="shared" si="95"/>
        <v>0.91936128584737353</v>
      </c>
      <c r="DD32" s="18">
        <f>EST_FEC!$B106*$D$22/SUM($D$14:$D$26)</f>
        <v>615.66579324788427</v>
      </c>
      <c r="DE32" s="18">
        <f t="shared" si="58"/>
        <v>329.27610134494734</v>
      </c>
      <c r="DF32" s="18">
        <f t="shared" si="59"/>
        <v>401.47949358691335</v>
      </c>
      <c r="DG32" s="21">
        <f t="shared" si="60"/>
        <v>0.82015671187366579</v>
      </c>
      <c r="DH32" s="21">
        <f t="shared" si="96"/>
        <v>0.55760076876468523</v>
      </c>
      <c r="DI32" s="18">
        <f>EST_FEC!$B106*$D$23/SUM($D$14:$D$26)</f>
        <v>1361.6067328650845</v>
      </c>
      <c r="DJ32" s="18">
        <f t="shared" si="61"/>
        <v>403.91636011666503</v>
      </c>
      <c r="DK32" s="18">
        <f t="shared" si="62"/>
        <v>1205.082253390342</v>
      </c>
      <c r="DL32" s="21">
        <f t="shared" si="63"/>
        <v>0.33517741961621206</v>
      </c>
      <c r="DM32" s="21">
        <f t="shared" si="97"/>
        <v>0.61926263603336418</v>
      </c>
      <c r="DN32" s="18">
        <f>EST_FEC!$B106*$D$24/SUM($D$14:$D$26)</f>
        <v>226.82423961764155</v>
      </c>
      <c r="DO32" s="18">
        <f t="shared" si="64"/>
        <v>60.636942835442525</v>
      </c>
      <c r="DP32" s="18">
        <f t="shared" si="65"/>
        <v>165.16319907609591</v>
      </c>
      <c r="DQ32" s="21">
        <f t="shared" si="66"/>
        <v>0.36713349689663716</v>
      </c>
      <c r="DR32" s="21">
        <f t="shared" si="98"/>
        <v>0.92487468527852879</v>
      </c>
      <c r="DS32" s="18">
        <f>EST_FEC!$B106*$D$25/SUM($D$14:$D$26)</f>
        <v>50.919727261103212</v>
      </c>
      <c r="DT32" s="18">
        <f t="shared" si="67"/>
        <v>31.681664887782006</v>
      </c>
      <c r="DU32" s="18">
        <f t="shared" si="68"/>
        <v>38.11522578927331</v>
      </c>
      <c r="DV32" s="21">
        <f t="shared" si="69"/>
        <v>0.83120758782696524</v>
      </c>
      <c r="DW32" s="21">
        <f t="shared" si="99"/>
        <v>0.78907315821991586</v>
      </c>
      <c r="DX32" s="18">
        <f>EST_FEC!$B106*$D$26/SUM($D$14:$D$26)</f>
        <v>176.56580751577346</v>
      </c>
      <c r="DY32" s="18">
        <f t="shared" si="70"/>
        <v>109.43444843691422</v>
      </c>
      <c r="DZ32" s="18">
        <f t="shared" si="71"/>
        <v>166.744277191219</v>
      </c>
      <c r="EA32" s="21">
        <f t="shared" si="72"/>
        <v>0.65630107539713034</v>
      </c>
      <c r="EB32" s="21">
        <f t="shared" si="73"/>
        <v>0.55153702195441512</v>
      </c>
      <c r="EC32" s="18">
        <f t="shared" si="74"/>
        <v>698.36071231130336</v>
      </c>
      <c r="ED32" s="21">
        <f t="shared" si="75"/>
        <v>0.18215457890151096</v>
      </c>
    </row>
    <row r="33" spans="1:134" x14ac:dyDescent="0.35">
      <c r="A33" s="77"/>
      <c r="B33" s="23" t="s">
        <v>175</v>
      </c>
      <c r="C33" s="34">
        <v>0</v>
      </c>
      <c r="D33" s="34">
        <v>6</v>
      </c>
      <c r="E33" s="21">
        <f t="shared" si="102"/>
        <v>0</v>
      </c>
      <c r="M33" s="47">
        <f t="shared" si="77"/>
        <v>2050</v>
      </c>
      <c r="N33" s="21">
        <f t="shared" si="78"/>
        <v>0.88622453193195638</v>
      </c>
      <c r="O33" s="18">
        <f>EST_FEC!B213*D$5/SUM(D$5:D$8)</f>
        <v>120.45439346794856</v>
      </c>
      <c r="P33" s="18">
        <f t="shared" si="1"/>
        <v>74.427817622638145</v>
      </c>
      <c r="Q33" s="18">
        <f t="shared" si="2"/>
        <v>90.387363814677826</v>
      </c>
      <c r="R33" s="21">
        <f t="shared" si="3"/>
        <v>0.82343166656833022</v>
      </c>
      <c r="S33" s="21">
        <f t="shared" si="79"/>
        <v>0.77896177808069911</v>
      </c>
      <c r="T33" s="18">
        <f>EST_FEC!B213*D$6/SUM(D$5:D$8)</f>
        <v>10795.938094262874</v>
      </c>
      <c r="U33" s="18">
        <f t="shared" si="4"/>
        <v>3382.1126619570327</v>
      </c>
      <c r="V33" s="18">
        <f t="shared" si="5"/>
        <v>5781.0296120861985</v>
      </c>
      <c r="W33" s="21">
        <f t="shared" si="6"/>
        <v>0.58503638432956073</v>
      </c>
      <c r="X33" s="21">
        <f t="shared" si="80"/>
        <v>0</v>
      </c>
      <c r="Y33" s="18">
        <f>EST_FEC!$B213*$D$7/SUM($D$5:$D$8)</f>
        <v>20.201525805425291</v>
      </c>
      <c r="Z33" s="18">
        <f t="shared" si="7"/>
        <v>0</v>
      </c>
      <c r="AA33" s="18">
        <f t="shared" si="8"/>
        <v>20.201525805425291</v>
      </c>
      <c r="AB33" s="21">
        <f t="shared" si="9"/>
        <v>0</v>
      </c>
      <c r="AC33" s="21">
        <f t="shared" si="81"/>
        <v>0</v>
      </c>
      <c r="AD33" s="18">
        <f>EST_FEC!$B213*$D$8/SUM($D$5:$D$8)</f>
        <v>66.071600465810036</v>
      </c>
      <c r="AE33" s="18">
        <f t="shared" si="10"/>
        <v>0</v>
      </c>
      <c r="AF33" s="18">
        <f t="shared" si="11"/>
        <v>66.071600465810036</v>
      </c>
      <c r="AG33" s="21">
        <f t="shared" si="12"/>
        <v>0</v>
      </c>
      <c r="AH33" s="21">
        <f t="shared" si="13"/>
        <v>0.58018131529188677</v>
      </c>
      <c r="AI33" s="18">
        <f t="shared" si="14"/>
        <v>5044.9755118299454</v>
      </c>
      <c r="AJ33" s="21">
        <f t="shared" si="15"/>
        <v>0.45852302422148322</v>
      </c>
      <c r="AL33" s="21">
        <f t="shared" si="82"/>
        <v>0.76810353315382951</v>
      </c>
      <c r="AM33" s="18">
        <f>EST_FEC!B160*$D$9/SUM($D$9:$D$13)</f>
        <v>10996.965595211181</v>
      </c>
      <c r="AN33" s="18">
        <f t="shared" si="16"/>
        <v>3951.1527248724783</v>
      </c>
      <c r="AO33" s="18">
        <f t="shared" si="17"/>
        <v>6933.36253552585</v>
      </c>
      <c r="AP33" s="21">
        <f t="shared" si="18"/>
        <v>0.56987539662424547</v>
      </c>
      <c r="AQ33" s="21">
        <f t="shared" si="83"/>
        <v>1</v>
      </c>
      <c r="AR33" s="18">
        <f>EST_FEC!$B160*$D$10/SUM($D$9:$D$13)</f>
        <v>9.3646799417306976</v>
      </c>
      <c r="AS33" s="18">
        <f t="shared" si="19"/>
        <v>9.3646799417306976</v>
      </c>
      <c r="AT33" s="18">
        <f t="shared" si="20"/>
        <v>9.3646799417306976</v>
      </c>
      <c r="AU33" s="21">
        <f t="shared" si="21"/>
        <v>1</v>
      </c>
      <c r="AV33" s="18">
        <f t="shared" si="84"/>
        <v>0.77246172360066645</v>
      </c>
      <c r="AW33" s="18">
        <f>EST_FEC!$B160*$D$11/SUM($D$9:$D$13)</f>
        <v>1864.6934030750315</v>
      </c>
      <c r="AX33" s="18">
        <f t="shared" si="22"/>
        <v>761.3057358424187</v>
      </c>
      <c r="AY33" s="18">
        <f t="shared" si="23"/>
        <v>1321.9360870106716</v>
      </c>
      <c r="AZ33" s="21">
        <f t="shared" si="24"/>
        <v>0.57590207523873493</v>
      </c>
      <c r="BA33" s="18">
        <f t="shared" si="85"/>
        <v>0.9876154314736445</v>
      </c>
      <c r="BB33" s="18">
        <f>EST_FEC!$B160*$D$12/SUM($D$9:$D$13)</f>
        <v>589.26713979331635</v>
      </c>
      <c r="BC33" s="18">
        <f t="shared" si="25"/>
        <v>581.96932052021657</v>
      </c>
      <c r="BD33" s="18">
        <f t="shared" si="26"/>
        <v>589.26713979331635</v>
      </c>
      <c r="BE33" s="21">
        <f t="shared" si="27"/>
        <v>0.98761543147364461</v>
      </c>
      <c r="BF33" s="18">
        <f t="shared" si="86"/>
        <v>0.99999990702341934</v>
      </c>
      <c r="BG33" s="18">
        <f>EST_FEC!$B160*$D$13/SUM($D$9:$D$13)</f>
        <v>2740.5018095495893</v>
      </c>
      <c r="BH33" s="18">
        <f t="shared" si="28"/>
        <v>2740.5015547471016</v>
      </c>
      <c r="BI33" s="18">
        <f t="shared" si="29"/>
        <v>2740.5018095495893</v>
      </c>
      <c r="BJ33" s="21">
        <f t="shared" si="30"/>
        <v>0.99999990702341923</v>
      </c>
      <c r="BK33" s="21">
        <f t="shared" si="31"/>
        <v>0.69380663418516375</v>
      </c>
      <c r="BL33" s="18">
        <f t="shared" si="32"/>
        <v>4606.3603757496894</v>
      </c>
      <c r="BM33" s="21">
        <f t="shared" si="33"/>
        <v>0.28432932151174439</v>
      </c>
      <c r="BO33" s="21">
        <f t="shared" si="87"/>
        <v>0.7220102205222243</v>
      </c>
      <c r="BP33" s="18">
        <f>EST_FEC!$B107*$D$14/SUM($D$14:$D$26)</f>
        <v>4.6219595493282721</v>
      </c>
      <c r="BQ33" s="18">
        <f t="shared" si="34"/>
        <v>2.7014635508923908</v>
      </c>
      <c r="BR33" s="18">
        <f t="shared" si="35"/>
        <v>4.261647677309564</v>
      </c>
      <c r="BS33" s="21">
        <f t="shared" si="36"/>
        <v>0.6339011939621112</v>
      </c>
      <c r="BT33" s="21">
        <f t="shared" si="88"/>
        <v>0.76462871713906955</v>
      </c>
      <c r="BU33" s="18">
        <f>EST_FEC!$B107*$D$15/SUM($D$14:D$26)</f>
        <v>200.06482049235237</v>
      </c>
      <c r="BV33" s="18">
        <f t="shared" si="37"/>
        <v>103.69620910465156</v>
      </c>
      <c r="BW33" s="18">
        <f t="shared" si="38"/>
        <v>166.96349451821848</v>
      </c>
      <c r="BX33" s="21">
        <f t="shared" si="39"/>
        <v>0.62107114734195135</v>
      </c>
      <c r="BY33" s="21">
        <f t="shared" si="89"/>
        <v>0.95114698544746257</v>
      </c>
      <c r="BZ33" s="18">
        <f>EST_FEC!$B107*$D$16/SUM($D$14:D$26)</f>
        <v>4.6219595493282721</v>
      </c>
      <c r="CA33" s="18">
        <f t="shared" si="40"/>
        <v>3.4327575193468181</v>
      </c>
      <c r="CB33" s="18">
        <f t="shared" si="41"/>
        <v>3.7187527132620781</v>
      </c>
      <c r="CC33" s="21">
        <f t="shared" si="42"/>
        <v>0.92309378547938292</v>
      </c>
      <c r="CD33" s="21">
        <f t="shared" si="90"/>
        <v>0.64319248263516682</v>
      </c>
      <c r="CE33" s="18">
        <f>EST_FEC!$B107*$D$17/SUM($D$16:D$26)</f>
        <v>301.51641331687989</v>
      </c>
      <c r="CF33" s="18">
        <f t="shared" si="43"/>
        <v>143.59220934570899</v>
      </c>
      <c r="CG33" s="18">
        <f t="shared" si="44"/>
        <v>269.56506974132947</v>
      </c>
      <c r="CH33" s="21">
        <f t="shared" si="45"/>
        <v>0.53268106837246343</v>
      </c>
      <c r="CI33" s="21">
        <f t="shared" si="91"/>
        <v>0.88325042060262726</v>
      </c>
      <c r="CJ33" s="18">
        <f>EST_FEC!$B107*$D$18/SUM($D$16:D$26)</f>
        <v>67.003647403751089</v>
      </c>
      <c r="CK33" s="18">
        <f t="shared" si="46"/>
        <v>41.524278269615685</v>
      </c>
      <c r="CL33" s="18">
        <f t="shared" si="47"/>
        <v>52.759268635589521</v>
      </c>
      <c r="CM33" s="21">
        <f t="shared" si="48"/>
        <v>0.7870518175000798</v>
      </c>
      <c r="CN33" s="21">
        <f t="shared" si="92"/>
        <v>0.94836781009769666</v>
      </c>
      <c r="CO33" s="18">
        <f>EST_FEC!$B107*$D$19/SUM($D$16:$D$26)</f>
        <v>273.5982268986503</v>
      </c>
      <c r="CP33" s="18">
        <f t="shared" si="49"/>
        <v>204.97915189854407</v>
      </c>
      <c r="CQ33" s="18">
        <f t="shared" si="50"/>
        <v>227.81643359123831</v>
      </c>
      <c r="CR33" s="21">
        <f t="shared" si="51"/>
        <v>0.89975577559224618</v>
      </c>
      <c r="CS33" s="18">
        <f t="shared" si="93"/>
        <v>0.93645643984279658</v>
      </c>
      <c r="CT33" s="18">
        <f>EST_FEC!$B107*$D$20/SUM($D$16:D$26)</f>
        <v>25.12636777640666</v>
      </c>
      <c r="CU33" s="18">
        <f t="shared" si="52"/>
        <v>16.801983669013232</v>
      </c>
      <c r="CV33" s="18">
        <f t="shared" si="53"/>
        <v>19.998537320702034</v>
      </c>
      <c r="CW33" s="21">
        <f t="shared" si="54"/>
        <v>0.84016062772851885</v>
      </c>
      <c r="CX33" s="21">
        <f t="shared" si="94"/>
        <v>0.84140544073904511</v>
      </c>
      <c r="CY33" s="18">
        <f>EST_FEC!$B107*$D$21/SUM($D$14:$D$26)</f>
        <v>523.60198894533141</v>
      </c>
      <c r="CZ33" s="18">
        <f t="shared" si="55"/>
        <v>278.55935350237843</v>
      </c>
      <c r="DA33" s="18">
        <f t="shared" si="56"/>
        <v>409.82186904400209</v>
      </c>
      <c r="DB33" s="21">
        <f t="shared" si="57"/>
        <v>0.67970836732597562</v>
      </c>
      <c r="DC33" s="21">
        <f t="shared" si="95"/>
        <v>0.92307109688965805</v>
      </c>
      <c r="DD33" s="18">
        <f>EST_FEC!$B107*$D$22/SUM($D$14:$D$26)</f>
        <v>614.72062006066017</v>
      </c>
      <c r="DE33" s="18">
        <f t="shared" si="58"/>
        <v>330.09725170881813</v>
      </c>
      <c r="DF33" s="18">
        <f t="shared" si="59"/>
        <v>398.8731552639843</v>
      </c>
      <c r="DG33" s="21">
        <f t="shared" si="60"/>
        <v>0.82757449919223436</v>
      </c>
      <c r="DH33" s="21">
        <f t="shared" si="96"/>
        <v>0.55894121157283838</v>
      </c>
      <c r="DI33" s="18">
        <f>EST_FEC!$B107*$D$23/SUM($D$14:$D$26)</f>
        <v>1359.5163874381306</v>
      </c>
      <c r="DJ33" s="18">
        <f t="shared" si="61"/>
        <v>404.26576864183437</v>
      </c>
      <c r="DK33" s="18">
        <f t="shared" si="62"/>
        <v>1201.7779507280306</v>
      </c>
      <c r="DL33" s="21">
        <f t="shared" si="63"/>
        <v>0.33638973688686197</v>
      </c>
      <c r="DM33" s="21">
        <f t="shared" si="97"/>
        <v>0.62251126608851481</v>
      </c>
      <c r="DN33" s="18">
        <f>EST_FEC!$B107*$D$24/SUM($D$14:$D$26)</f>
        <v>226.47601791708533</v>
      </c>
      <c r="DO33" s="18">
        <f t="shared" si="64"/>
        <v>60.861463625710343</v>
      </c>
      <c r="DP33" s="18">
        <f t="shared" si="65"/>
        <v>164.33675271345328</v>
      </c>
      <c r="DQ33" s="21">
        <f t="shared" si="66"/>
        <v>0.37034602802351696</v>
      </c>
      <c r="DR33" s="21">
        <f t="shared" si="98"/>
        <v>0.9271935300232037</v>
      </c>
      <c r="DS33" s="18">
        <f>EST_FEC!$B107*$D$25/SUM($D$14:$D$26)</f>
        <v>50.841555042610992</v>
      </c>
      <c r="DT33" s="18">
        <f t="shared" si="67"/>
        <v>31.71233732722941</v>
      </c>
      <c r="DU33" s="18">
        <f t="shared" si="68"/>
        <v>37.937745671728919</v>
      </c>
      <c r="DV33" s="21">
        <f t="shared" si="69"/>
        <v>0.83590463180476582</v>
      </c>
      <c r="DW33" s="21">
        <f t="shared" si="99"/>
        <v>0.78976022023142789</v>
      </c>
      <c r="DX33" s="18">
        <f>EST_FEC!$B107*$D$26/SUM($D$14:$D$26)</f>
        <v>176.29474281009266</v>
      </c>
      <c r="DY33" s="18">
        <f t="shared" si="70"/>
        <v>109.3615846377496</v>
      </c>
      <c r="DZ33" s="18">
        <f t="shared" si="71"/>
        <v>166.39703962209995</v>
      </c>
      <c r="EA33" s="21">
        <f t="shared" si="72"/>
        <v>0.65723275417710492</v>
      </c>
      <c r="EB33" s="21">
        <f t="shared" si="73"/>
        <v>0.55424443079030183</v>
      </c>
      <c r="EC33" s="18">
        <f t="shared" si="74"/>
        <v>703.77698995965966</v>
      </c>
      <c r="ED33" s="21">
        <f t="shared" si="75"/>
        <v>0.18384956231527902</v>
      </c>
    </row>
    <row r="34" spans="1:134" ht="15" thickBot="1" x14ac:dyDescent="0.4">
      <c r="A34" s="77" t="s">
        <v>127</v>
      </c>
      <c r="B34" s="23" t="s">
        <v>159</v>
      </c>
      <c r="C34" s="34">
        <v>467.0190139</v>
      </c>
      <c r="D34" s="34">
        <v>7732.4354898000001</v>
      </c>
      <c r="E34" s="21">
        <f t="shared" si="102"/>
        <v>6.0397401894403582E-2</v>
      </c>
      <c r="M34" s="47">
        <f t="shared" si="77"/>
        <v>2051</v>
      </c>
      <c r="N34" s="21">
        <f t="shared" si="78"/>
        <v>0.88973374345886325</v>
      </c>
      <c r="O34" s="18">
        <f>EST_FEC!B214*D$5/SUM(D$5:D$8)</f>
        <v>121.54485033608536</v>
      </c>
      <c r="P34" s="18">
        <f t="shared" si="1"/>
        <v>75.398984510669663</v>
      </c>
      <c r="Q34" s="18">
        <f t="shared" si="2"/>
        <v>91.006308867552477</v>
      </c>
      <c r="R34" s="21">
        <f t="shared" si="3"/>
        <v>0.82850283072575559</v>
      </c>
      <c r="S34" s="21">
        <f t="shared" si="79"/>
        <v>0.78430631816434482</v>
      </c>
      <c r="T34" s="18">
        <f>EST_FEC!B214*D$6/SUM(D$5:D$8)</f>
        <v>10893.672220050497</v>
      </c>
      <c r="U34" s="18">
        <f t="shared" si="4"/>
        <v>3436.1455661359378</v>
      </c>
      <c r="V34" s="18">
        <f t="shared" si="5"/>
        <v>5798.2504446480025</v>
      </c>
      <c r="W34" s="21">
        <f t="shared" si="6"/>
        <v>0.59261765233125208</v>
      </c>
      <c r="X34" s="21">
        <f t="shared" si="80"/>
        <v>0</v>
      </c>
      <c r="Y34" s="18">
        <f>EST_FEC!$B214*$D$7/SUM($D$5:$D$8)</f>
        <v>20.384407408388405</v>
      </c>
      <c r="Z34" s="18">
        <f t="shared" si="7"/>
        <v>0</v>
      </c>
      <c r="AA34" s="18">
        <f t="shared" si="8"/>
        <v>20.384407408388405</v>
      </c>
      <c r="AB34" s="21">
        <f t="shared" si="9"/>
        <v>0</v>
      </c>
      <c r="AC34" s="21">
        <f t="shared" si="81"/>
        <v>0</v>
      </c>
      <c r="AD34" s="18">
        <f>EST_FEC!$B214*$D$8/SUM($D$5:$D$8)</f>
        <v>66.669737473871123</v>
      </c>
      <c r="AE34" s="18">
        <f t="shared" si="10"/>
        <v>0</v>
      </c>
      <c r="AF34" s="18">
        <f t="shared" si="11"/>
        <v>66.669737473871123</v>
      </c>
      <c r="AG34" s="21">
        <f t="shared" si="12"/>
        <v>0</v>
      </c>
      <c r="AH34" s="21">
        <f t="shared" si="13"/>
        <v>0.58757728812067245</v>
      </c>
      <c r="AI34" s="18">
        <f t="shared" si="14"/>
        <v>5125.9603168710273</v>
      </c>
      <c r="AJ34" s="21">
        <f t="shared" si="15"/>
        <v>0.46170375569832467</v>
      </c>
      <c r="AL34" s="21">
        <f t="shared" si="82"/>
        <v>0.77175912026428006</v>
      </c>
      <c r="AM34" s="18">
        <f>EST_FEC!B161*$D$9/SUM($D$9:$D$13)</f>
        <v>11068.102143717455</v>
      </c>
      <c r="AN34" s="18">
        <f t="shared" si="16"/>
        <v>3995.6378333327734</v>
      </c>
      <c r="AO34" s="18">
        <f t="shared" si="17"/>
        <v>6949.8235055179794</v>
      </c>
      <c r="AP34" s="21">
        <f t="shared" si="18"/>
        <v>0.57492651866055888</v>
      </c>
      <c r="AQ34" s="21">
        <f t="shared" si="83"/>
        <v>1</v>
      </c>
      <c r="AR34" s="18">
        <f>EST_FEC!$B161*$D$10/SUM($D$9:$D$13)</f>
        <v>9.4252576532051027</v>
      </c>
      <c r="AS34" s="18">
        <f t="shared" si="19"/>
        <v>9.4252576532051027</v>
      </c>
      <c r="AT34" s="18">
        <f t="shared" si="20"/>
        <v>9.4252576532051027</v>
      </c>
      <c r="AU34" s="21">
        <f t="shared" si="21"/>
        <v>1</v>
      </c>
      <c r="AV34" s="18">
        <f t="shared" si="84"/>
        <v>0.77501015804276752</v>
      </c>
      <c r="AW34" s="18">
        <f>EST_FEC!$B161*$D$11/SUM($D$9:$D$13)</f>
        <v>1876.7556262009218</v>
      </c>
      <c r="AX34" s="18">
        <f t="shared" si="22"/>
        <v>768.75830401335281</v>
      </c>
      <c r="AY34" s="18">
        <f t="shared" si="23"/>
        <v>1326.6955372493644</v>
      </c>
      <c r="AZ34" s="21">
        <f t="shared" si="24"/>
        <v>0.57945344838290336</v>
      </c>
      <c r="BA34" s="18">
        <f t="shared" si="85"/>
        <v>0.99076160148561865</v>
      </c>
      <c r="BB34" s="18">
        <f>EST_FEC!$B161*$D$12/SUM($D$9:$D$13)</f>
        <v>593.07895770891616</v>
      </c>
      <c r="BC34" s="18">
        <f t="shared" si="25"/>
        <v>587.59985794710724</v>
      </c>
      <c r="BD34" s="18">
        <f t="shared" si="26"/>
        <v>593.07895770891616</v>
      </c>
      <c r="BE34" s="21">
        <f t="shared" si="27"/>
        <v>0.99076160148561854</v>
      </c>
      <c r="BF34" s="18">
        <f t="shared" si="86"/>
        <v>0.99999993064314652</v>
      </c>
      <c r="BG34" s="18">
        <f>EST_FEC!$B161*$D$13/SUM($D$9:$D$13)</f>
        <v>2758.2294125159437</v>
      </c>
      <c r="BH34" s="18">
        <f t="shared" si="28"/>
        <v>2758.2292212138304</v>
      </c>
      <c r="BI34" s="18">
        <f t="shared" si="29"/>
        <v>2758.2294125159437</v>
      </c>
      <c r="BJ34" s="21">
        <f t="shared" si="30"/>
        <v>0.99999993064314652</v>
      </c>
      <c r="BK34" s="21">
        <f t="shared" si="31"/>
        <v>0.69772915515032374</v>
      </c>
      <c r="BL34" s="18">
        <f t="shared" si="32"/>
        <v>4668.3387271510328</v>
      </c>
      <c r="BM34" s="21">
        <f t="shared" si="33"/>
        <v>0.28630293825355624</v>
      </c>
      <c r="BO34" s="21">
        <f t="shared" si="87"/>
        <v>0.72334710528256219</v>
      </c>
      <c r="BP34" s="18">
        <f>EST_FEC!$B108*$D$14/SUM($D$14:$D$26)</f>
        <v>4.6143208668047606</v>
      </c>
      <c r="BQ34" s="18">
        <f t="shared" si="34"/>
        <v>2.7019926624484998</v>
      </c>
      <c r="BR34" s="18">
        <f t="shared" si="35"/>
        <v>4.2521075784672453</v>
      </c>
      <c r="BS34" s="21">
        <f t="shared" si="36"/>
        <v>0.63544786028731792</v>
      </c>
      <c r="BT34" s="21">
        <f t="shared" si="88"/>
        <v>0.76635393131666707</v>
      </c>
      <c r="BU34" s="18">
        <f>EST_FEC!$B108*$D$15/SUM($D$14:D$26)</f>
        <v>199.73417466312034</v>
      </c>
      <c r="BV34" s="18">
        <f t="shared" si="37"/>
        <v>103.75841174728536</v>
      </c>
      <c r="BW34" s="18">
        <f t="shared" si="38"/>
        <v>166.45816834601379</v>
      </c>
      <c r="BX34" s="21">
        <f t="shared" si="39"/>
        <v>0.62333025034616807</v>
      </c>
      <c r="BY34" s="21">
        <f t="shared" si="89"/>
        <v>0.95393945009649261</v>
      </c>
      <c r="BZ34" s="18">
        <f>EST_FEC!$B108*$D$16/SUM($D$14:D$26)</f>
        <v>4.6143208668047606</v>
      </c>
      <c r="CA34" s="18">
        <f t="shared" si="40"/>
        <v>3.437145771812367</v>
      </c>
      <c r="CB34" s="18">
        <f t="shared" si="41"/>
        <v>3.7063476814985807</v>
      </c>
      <c r="CC34" s="21">
        <f t="shared" si="42"/>
        <v>0.92736733495618306</v>
      </c>
      <c r="CD34" s="21">
        <f t="shared" si="90"/>
        <v>0.64490105941675946</v>
      </c>
      <c r="CE34" s="18">
        <f>EST_FEC!$B108*$D$17/SUM($D$16:D$26)</f>
        <v>301.01809909920348</v>
      </c>
      <c r="CF34" s="18">
        <f t="shared" si="43"/>
        <v>143.73570343864949</v>
      </c>
      <c r="CG34" s="18">
        <f t="shared" si="44"/>
        <v>268.89814379919898</v>
      </c>
      <c r="CH34" s="21">
        <f t="shared" si="45"/>
        <v>0.53453587074957587</v>
      </c>
      <c r="CI34" s="21">
        <f t="shared" si="91"/>
        <v>0.88525931140540592</v>
      </c>
      <c r="CJ34" s="18">
        <f>EST_FEC!$B108*$D$18/SUM($D$16:D$26)</f>
        <v>66.892910910934106</v>
      </c>
      <c r="CK34" s="18">
        <f t="shared" si="46"/>
        <v>41.549939320604864</v>
      </c>
      <c r="CL34" s="18">
        <f t="shared" si="47"/>
        <v>52.573362556798848</v>
      </c>
      <c r="CM34" s="21">
        <f t="shared" si="48"/>
        <v>0.79032303242379498</v>
      </c>
      <c r="CN34" s="21">
        <f t="shared" si="92"/>
        <v>0.94977289470394832</v>
      </c>
      <c r="CO34" s="18">
        <f>EST_FEC!$B108*$D$19/SUM($D$16:$D$26)</f>
        <v>273.14605288631424</v>
      </c>
      <c r="CP34" s="18">
        <f t="shared" si="49"/>
        <v>204.94357568017514</v>
      </c>
      <c r="CQ34" s="18">
        <f t="shared" si="50"/>
        <v>227.12266263009442</v>
      </c>
      <c r="CR34" s="21">
        <f t="shared" si="51"/>
        <v>0.90234753902105547</v>
      </c>
      <c r="CS34" s="18">
        <f t="shared" si="93"/>
        <v>0.93755627682864384</v>
      </c>
      <c r="CT34" s="18">
        <f>EST_FEC!$B108*$D$20/SUM($D$16:D$26)</f>
        <v>25.084841591600288</v>
      </c>
      <c r="CU34" s="18">
        <f t="shared" si="52"/>
        <v>16.793915898302686</v>
      </c>
      <c r="CV34" s="18">
        <f t="shared" si="53"/>
        <v>19.929950854884314</v>
      </c>
      <c r="CW34" s="21">
        <f t="shared" si="54"/>
        <v>0.84264713047131934</v>
      </c>
      <c r="CX34" s="21">
        <f t="shared" si="94"/>
        <v>0.84299583159472546</v>
      </c>
      <c r="CY34" s="18">
        <f>EST_FEC!$B108*$D$21/SUM($D$14:$D$26)</f>
        <v>522.73663533945353</v>
      </c>
      <c r="CZ34" s="18">
        <f t="shared" si="55"/>
        <v>278.62463181962659</v>
      </c>
      <c r="DA34" s="18">
        <f t="shared" si="56"/>
        <v>408.35608177624101</v>
      </c>
      <c r="DB34" s="21">
        <f t="shared" si="57"/>
        <v>0.68230802540685342</v>
      </c>
      <c r="DC34" s="21">
        <f t="shared" si="95"/>
        <v>0.92586422019766235</v>
      </c>
      <c r="DD34" s="18">
        <f>EST_FEC!$B108*$D$22/SUM($D$14:$D$26)</f>
        <v>613.70467528503309</v>
      </c>
      <c r="DE34" s="18">
        <f t="shared" si="58"/>
        <v>330.54889350459609</v>
      </c>
      <c r="DF34" s="18">
        <f t="shared" si="59"/>
        <v>396.71815312219809</v>
      </c>
      <c r="DG34" s="21">
        <f t="shared" si="60"/>
        <v>0.83320838964175059</v>
      </c>
      <c r="DH34" s="21">
        <f t="shared" si="96"/>
        <v>0.55995043333853611</v>
      </c>
      <c r="DI34" s="18">
        <f>EST_FEC!$B108*$D$23/SUM($D$14:$D$26)</f>
        <v>1357.2695235358574</v>
      </c>
      <c r="DJ34" s="18">
        <f t="shared" si="61"/>
        <v>404.32637533804757</v>
      </c>
      <c r="DK34" s="18">
        <f t="shared" si="62"/>
        <v>1198.6986789564767</v>
      </c>
      <c r="DL34" s="21">
        <f t="shared" si="63"/>
        <v>0.3373044305763585</v>
      </c>
      <c r="DM34" s="21">
        <f t="shared" si="97"/>
        <v>0.62495716541403312</v>
      </c>
      <c r="DN34" s="18">
        <f>EST_FEC!$B108*$D$24/SUM($D$14:$D$26)</f>
        <v>226.10172247343326</v>
      </c>
      <c r="DO34" s="18">
        <f t="shared" si="64"/>
        <v>60.999612901165264</v>
      </c>
      <c r="DP34" s="18">
        <f t="shared" si="65"/>
        <v>163.63453964600799</v>
      </c>
      <c r="DQ34" s="21">
        <f t="shared" si="66"/>
        <v>0.3727795674013949</v>
      </c>
      <c r="DR34" s="21">
        <f t="shared" si="98"/>
        <v>0.92893939234076406</v>
      </c>
      <c r="DS34" s="18">
        <f>EST_FEC!$B108*$D$25/SUM($D$14:$D$26)</f>
        <v>50.75752953485236</v>
      </c>
      <c r="DT34" s="18">
        <f t="shared" si="67"/>
        <v>31.71954072335442</v>
      </c>
      <c r="DU34" s="18">
        <f t="shared" si="68"/>
        <v>37.78562495085643</v>
      </c>
      <c r="DV34" s="21">
        <f t="shared" si="69"/>
        <v>0.83946052935761961</v>
      </c>
      <c r="DW34" s="21">
        <f t="shared" si="99"/>
        <v>0.79027751043745864</v>
      </c>
      <c r="DX34" s="18">
        <f>EST_FEC!$B108*$D$26/SUM($D$14:$D$26)</f>
        <v>176.0033816338387</v>
      </c>
      <c r="DY34" s="18">
        <f t="shared" si="70"/>
        <v>109.25235653113538</v>
      </c>
      <c r="DZ34" s="18">
        <f t="shared" si="71"/>
        <v>166.05344687696953</v>
      </c>
      <c r="EA34" s="21">
        <f t="shared" si="72"/>
        <v>0.65793489136110139</v>
      </c>
      <c r="EB34" s="21">
        <f t="shared" si="73"/>
        <v>0.55629027602385228</v>
      </c>
      <c r="EC34" s="18">
        <f t="shared" si="74"/>
        <v>707.4909199115441</v>
      </c>
      <c r="ED34" s="21">
        <f t="shared" si="75"/>
        <v>0.18512571833123601</v>
      </c>
    </row>
    <row r="35" spans="1:134" x14ac:dyDescent="0.35">
      <c r="A35" s="77"/>
      <c r="B35" s="23" t="s">
        <v>160</v>
      </c>
      <c r="C35" s="34">
        <v>0</v>
      </c>
      <c r="D35" s="34">
        <v>0</v>
      </c>
      <c r="E35" s="21">
        <f t="shared" si="102"/>
        <v>0</v>
      </c>
    </row>
    <row r="36" spans="1:134" x14ac:dyDescent="0.35">
      <c r="A36" s="77"/>
      <c r="B36" s="23" t="s">
        <v>161</v>
      </c>
      <c r="C36" s="34">
        <v>82.215102160000001</v>
      </c>
      <c r="D36" s="34">
        <v>1275.2264544</v>
      </c>
      <c r="E36" s="21">
        <f t="shared" si="102"/>
        <v>6.447098229206874E-2</v>
      </c>
    </row>
    <row r="37" spans="1:134" ht="15" thickBot="1" x14ac:dyDescent="0.4">
      <c r="A37" s="77"/>
      <c r="B37" s="23" t="s">
        <v>162</v>
      </c>
      <c r="C37" s="34">
        <v>258.38854004400002</v>
      </c>
      <c r="D37" s="34">
        <v>522.3323388</v>
      </c>
      <c r="E37" s="21">
        <f t="shared" si="102"/>
        <v>0.49468225658326792</v>
      </c>
    </row>
    <row r="38" spans="1:134" x14ac:dyDescent="0.35">
      <c r="A38" s="77"/>
      <c r="B38" s="23" t="s">
        <v>179</v>
      </c>
      <c r="C38" s="34">
        <v>1355.6127511560001</v>
      </c>
      <c r="D38" s="34">
        <v>1355.62251156</v>
      </c>
      <c r="E38" s="21">
        <f t="shared" si="102"/>
        <v>0.99999280005759961</v>
      </c>
      <c r="F38" s="7"/>
    </row>
    <row r="39" spans="1:134" x14ac:dyDescent="0.35">
      <c r="A39" s="77" t="s">
        <v>126</v>
      </c>
      <c r="B39" s="31" t="s">
        <v>31</v>
      </c>
      <c r="C39" s="18">
        <f>3</f>
        <v>3</v>
      </c>
      <c r="D39" s="18">
        <f>7</f>
        <v>7</v>
      </c>
      <c r="E39" s="21">
        <f t="shared" si="102"/>
        <v>0.42857142857142855</v>
      </c>
      <c r="F39" s="7"/>
    </row>
    <row r="40" spans="1:134" x14ac:dyDescent="0.35">
      <c r="A40" s="77"/>
      <c r="B40" s="31" t="s">
        <v>33</v>
      </c>
      <c r="C40" s="18">
        <f>106</f>
        <v>106</v>
      </c>
      <c r="D40" s="18">
        <f>303</f>
        <v>303</v>
      </c>
      <c r="E40" s="21">
        <f t="shared" si="102"/>
        <v>0.34983498349834985</v>
      </c>
      <c r="F40" s="7"/>
    </row>
    <row r="41" spans="1:134" x14ac:dyDescent="0.35">
      <c r="A41" s="77"/>
      <c r="B41" s="31" t="s">
        <v>34</v>
      </c>
      <c r="C41" s="18">
        <f>3</f>
        <v>3</v>
      </c>
      <c r="D41" s="18">
        <f>7</f>
        <v>7</v>
      </c>
      <c r="E41" s="21">
        <f t="shared" si="102"/>
        <v>0.42857142857142855</v>
      </c>
      <c r="F41" s="7"/>
    </row>
    <row r="42" spans="1:134" ht="15" thickBot="1" x14ac:dyDescent="0.4">
      <c r="A42" s="77"/>
      <c r="B42" s="31" t="s">
        <v>164</v>
      </c>
      <c r="C42" s="18">
        <f>127</f>
        <v>127</v>
      </c>
      <c r="D42" s="18">
        <f>432</f>
        <v>432</v>
      </c>
      <c r="E42" s="21">
        <f t="shared" si="102"/>
        <v>0.29398148148148145</v>
      </c>
    </row>
    <row r="43" spans="1:134" ht="15" thickBot="1" x14ac:dyDescent="0.4">
      <c r="A43" s="77"/>
      <c r="B43" s="31" t="s">
        <v>36</v>
      </c>
      <c r="C43" s="18">
        <f>40</f>
        <v>40</v>
      </c>
      <c r="D43" s="18">
        <f>96</f>
        <v>96</v>
      </c>
      <c r="E43" s="21">
        <f t="shared" si="102"/>
        <v>0.41666666666666669</v>
      </c>
    </row>
    <row r="44" spans="1:134" x14ac:dyDescent="0.35">
      <c r="A44" s="77"/>
      <c r="B44" s="31" t="s">
        <v>37</v>
      </c>
      <c r="C44" s="18">
        <f>231</f>
        <v>231</v>
      </c>
      <c r="D44" s="18">
        <f>392</f>
        <v>392</v>
      </c>
      <c r="E44" s="21">
        <f t="shared" si="102"/>
        <v>0.5892857142857143</v>
      </c>
    </row>
    <row r="45" spans="1:134" ht="15" thickBot="1" x14ac:dyDescent="0.4">
      <c r="A45" s="77"/>
      <c r="B45" s="31" t="s">
        <v>38</v>
      </c>
      <c r="C45" s="18">
        <f>20</f>
        <v>20</v>
      </c>
      <c r="D45" s="18">
        <f>36</f>
        <v>36</v>
      </c>
      <c r="E45" s="21">
        <f t="shared" si="102"/>
        <v>0.55555555555555558</v>
      </c>
    </row>
    <row r="46" spans="1:134" ht="15" thickBot="1" x14ac:dyDescent="0.4">
      <c r="A46" s="77"/>
      <c r="B46" s="31" t="s">
        <v>40</v>
      </c>
      <c r="C46" s="18">
        <f>307</f>
        <v>307</v>
      </c>
      <c r="D46" s="18">
        <f>793</f>
        <v>793</v>
      </c>
      <c r="E46" s="21">
        <f t="shared" si="102"/>
        <v>0.38713745271122318</v>
      </c>
    </row>
    <row r="47" spans="1:134" ht="15" thickBot="1" x14ac:dyDescent="0.4">
      <c r="A47" s="77"/>
      <c r="B47" s="31" t="s">
        <v>41</v>
      </c>
      <c r="C47" s="18">
        <f>282</f>
        <v>282</v>
      </c>
      <c r="D47" s="18">
        <f>931</f>
        <v>931</v>
      </c>
      <c r="E47" s="21">
        <f t="shared" si="102"/>
        <v>0.30290010741138562</v>
      </c>
    </row>
    <row r="48" spans="1:134" ht="15" thickBot="1" x14ac:dyDescent="0.4">
      <c r="A48" s="77"/>
      <c r="B48" s="31" t="s">
        <v>42</v>
      </c>
      <c r="C48" s="18">
        <f>453</f>
        <v>453</v>
      </c>
      <c r="D48" s="18">
        <f>2059</f>
        <v>2059</v>
      </c>
      <c r="E48" s="21">
        <f t="shared" si="102"/>
        <v>0.22000971345313258</v>
      </c>
    </row>
    <row r="49" spans="1:7" ht="15" thickBot="1" x14ac:dyDescent="0.4">
      <c r="A49" s="77"/>
      <c r="B49" s="31" t="s">
        <v>43</v>
      </c>
      <c r="C49" s="18">
        <f>40</f>
        <v>40</v>
      </c>
      <c r="D49" s="18">
        <f>343</f>
        <v>343</v>
      </c>
      <c r="E49" s="21">
        <f t="shared" si="102"/>
        <v>0.11661807580174927</v>
      </c>
    </row>
    <row r="50" spans="1:7" ht="15" thickBot="1" x14ac:dyDescent="0.4">
      <c r="A50" s="77"/>
      <c r="B50" s="31" t="s">
        <v>44</v>
      </c>
      <c r="C50" s="18">
        <f>35</f>
        <v>35</v>
      </c>
      <c r="D50" s="18">
        <f>77</f>
        <v>77</v>
      </c>
      <c r="E50" s="21">
        <f t="shared" si="102"/>
        <v>0.45454545454545453</v>
      </c>
    </row>
    <row r="51" spans="1:7" ht="15" thickBot="1" x14ac:dyDescent="0.4">
      <c r="A51" s="77"/>
      <c r="B51" s="31" t="s">
        <v>45</v>
      </c>
      <c r="C51" s="18">
        <f>150</f>
        <v>150</v>
      </c>
      <c r="D51" s="18">
        <f>267</f>
        <v>267</v>
      </c>
      <c r="E51" s="21">
        <f t="shared" si="102"/>
        <v>0.5617977528089888</v>
      </c>
    </row>
    <row r="52" spans="1:7" ht="15" thickBot="1" x14ac:dyDescent="0.4"/>
    <row r="53" spans="1:7" ht="45" customHeight="1" thickBot="1" x14ac:dyDescent="0.4">
      <c r="A53" s="60" t="s">
        <v>685</v>
      </c>
      <c r="B53" s="7"/>
      <c r="C53" s="28" t="s">
        <v>144</v>
      </c>
      <c r="D53" s="28" t="s">
        <v>145</v>
      </c>
      <c r="E53" s="11" t="s">
        <v>146</v>
      </c>
    </row>
    <row r="54" spans="1:7" ht="15" thickBot="1" x14ac:dyDescent="0.4">
      <c r="A54" s="23" t="s">
        <v>682</v>
      </c>
      <c r="B54" s="7"/>
      <c r="C54" s="34">
        <v>2345</v>
      </c>
      <c r="D54" s="34">
        <v>11376.852000000001</v>
      </c>
      <c r="E54" s="21">
        <f>C54/D54</f>
        <v>0.20612028705304419</v>
      </c>
    </row>
    <row r="55" spans="1:7" ht="15" thickBot="1" x14ac:dyDescent="0.4">
      <c r="A55" s="23" t="s">
        <v>683</v>
      </c>
      <c r="B55" s="7"/>
      <c r="C55" s="34">
        <v>2419.643</v>
      </c>
      <c r="D55" s="34">
        <v>5620.0450000000001</v>
      </c>
      <c r="E55" s="21">
        <f>C55/D55</f>
        <v>0.43053801170631195</v>
      </c>
    </row>
    <row r="56" spans="1:7" ht="15" thickBot="1" x14ac:dyDescent="0.4">
      <c r="A56" s="15" t="s">
        <v>684</v>
      </c>
      <c r="B56" s="7"/>
      <c r="C56" s="27">
        <f>SUM(C54,C55)</f>
        <v>4764.643</v>
      </c>
      <c r="D56" s="27">
        <f>SUM(D54,D55)</f>
        <v>16996.897000000001</v>
      </c>
      <c r="E56" s="61">
        <f>C56/D56</f>
        <v>0.28032428507391671</v>
      </c>
    </row>
    <row r="57" spans="1:7" ht="15" thickBot="1" x14ac:dyDescent="0.4">
      <c r="D57" s="18">
        <f>SUM(D61:D65)</f>
        <v>10885.616794560003</v>
      </c>
    </row>
    <row r="59" spans="1:7" x14ac:dyDescent="0.35">
      <c r="D59" s="38"/>
      <c r="F59" s="23" t="s">
        <v>218</v>
      </c>
      <c r="G59" s="23" t="s">
        <v>219</v>
      </c>
    </row>
    <row r="60" spans="1:7" ht="45" customHeight="1" thickBot="1" x14ac:dyDescent="0.4">
      <c r="A60" s="9" t="s">
        <v>681</v>
      </c>
      <c r="B60" s="7"/>
      <c r="C60" s="28" t="s">
        <v>144</v>
      </c>
      <c r="D60" s="28" t="s">
        <v>145</v>
      </c>
      <c r="E60" s="11" t="s">
        <v>146</v>
      </c>
      <c r="F60" s="11" t="s">
        <v>216</v>
      </c>
      <c r="G60" s="11" t="s">
        <v>217</v>
      </c>
    </row>
    <row r="61" spans="1:7" x14ac:dyDescent="0.35">
      <c r="A61" s="77" t="s">
        <v>218</v>
      </c>
      <c r="B61" s="23" t="s">
        <v>159</v>
      </c>
      <c r="C61" s="62">
        <v>467.0190139</v>
      </c>
      <c r="D61" s="62">
        <v>7732.4354898000001</v>
      </c>
      <c r="E61" s="49">
        <f>IF(D61=0,0,C61/D61)</f>
        <v>6.0397401894403582E-2</v>
      </c>
      <c r="F61" s="63">
        <f>D61/SUM(D$61:D$65)</f>
        <v>0.71033508121140376</v>
      </c>
      <c r="G61" s="64">
        <v>0.61769484117628903</v>
      </c>
    </row>
    <row r="62" spans="1:7" ht="15" thickBot="1" x14ac:dyDescent="0.4">
      <c r="A62" s="77"/>
      <c r="B62" s="23" t="s">
        <v>160</v>
      </c>
      <c r="C62" s="62">
        <v>0</v>
      </c>
      <c r="D62" s="62">
        <v>0</v>
      </c>
      <c r="E62" s="49">
        <f>IF(D62=0,0,C62/D62)</f>
        <v>0</v>
      </c>
      <c r="F62" s="63">
        <f>D62/SUM(D$61:D$65)</f>
        <v>0</v>
      </c>
      <c r="G62" s="64">
        <v>1.6976565172415778E-3</v>
      </c>
    </row>
    <row r="63" spans="1:7" ht="15" thickBot="1" x14ac:dyDescent="0.4">
      <c r="A63" s="77"/>
      <c r="B63" s="23" t="s">
        <v>161</v>
      </c>
      <c r="C63" s="62">
        <v>82.215102160000001</v>
      </c>
      <c r="D63" s="62">
        <v>1275.2264544</v>
      </c>
      <c r="E63" s="49">
        <f>IF(D63=0,0,C63/D63)</f>
        <v>6.447098229206874E-2</v>
      </c>
      <c r="F63" s="63">
        <f>D63/SUM(D$61:D$65)</f>
        <v>0.11714783631160743</v>
      </c>
      <c r="G63" s="64">
        <v>0.11113025861866185</v>
      </c>
    </row>
    <row r="64" spans="1:7" ht="15" thickBot="1" x14ac:dyDescent="0.4">
      <c r="A64" s="77"/>
      <c r="B64" s="23" t="s">
        <v>162</v>
      </c>
      <c r="C64" s="62">
        <v>258.38854004400002</v>
      </c>
      <c r="D64" s="62">
        <v>522.3323388</v>
      </c>
      <c r="E64" s="49">
        <f>IF(D64=0,0,C64/D64)</f>
        <v>0.49468225658326792</v>
      </c>
      <c r="F64" s="63">
        <f>D64/SUM(D$61:D$65)</f>
        <v>4.7983715452948085E-2</v>
      </c>
      <c r="G64" s="64">
        <v>1.3883114186067073E-2</v>
      </c>
    </row>
    <row r="65" spans="1:7" ht="15" thickBot="1" x14ac:dyDescent="0.4">
      <c r="A65" s="77"/>
      <c r="B65" s="23" t="s">
        <v>179</v>
      </c>
      <c r="C65" s="62">
        <v>1355.6127511560001</v>
      </c>
      <c r="D65" s="62">
        <v>1355.62251156</v>
      </c>
      <c r="E65" s="49">
        <f>IF(D65=0,0,C65/D65)</f>
        <v>0.99999280005759961</v>
      </c>
      <c r="F65" s="63">
        <f>D65/SUM(D$61:D$65)</f>
        <v>0.1245333670240405</v>
      </c>
      <c r="G65" s="64">
        <v>0.25559412950174043</v>
      </c>
    </row>
    <row r="66" spans="1:7" ht="15" thickBot="1" x14ac:dyDescent="0.4">
      <c r="A66" s="77" t="s">
        <v>219</v>
      </c>
      <c r="B66" s="23" t="s">
        <v>159</v>
      </c>
      <c r="C66" s="65">
        <f>D66*E66</f>
        <v>798.43874484607738</v>
      </c>
      <c r="D66" s="65">
        <f>D$55*G61</f>
        <v>3471.4728036785973</v>
      </c>
      <c r="E66" s="55">
        <v>0.23</v>
      </c>
      <c r="F66" s="63">
        <f>SUM(F61:F65)</f>
        <v>0.99999999999999978</v>
      </c>
      <c r="G66" s="63">
        <f>SUM(G61:G65)</f>
        <v>1</v>
      </c>
    </row>
    <row r="67" spans="1:7" ht="15" thickBot="1" x14ac:dyDescent="0.4">
      <c r="A67" s="77"/>
      <c r="B67" s="23" t="s">
        <v>160</v>
      </c>
      <c r="C67" s="65">
        <f>D67*E67</f>
        <v>9.5409060214409429</v>
      </c>
      <c r="D67" s="65">
        <f>D$55*G62</f>
        <v>9.5409060214409429</v>
      </c>
      <c r="E67" s="55">
        <v>1</v>
      </c>
      <c r="F67" s="7"/>
      <c r="G67" s="7"/>
    </row>
    <row r="68" spans="1:7" ht="15" thickBot="1" x14ac:dyDescent="0.4">
      <c r="A68" s="77"/>
      <c r="B68" s="23" t="s">
        <v>161</v>
      </c>
      <c r="C68" s="65">
        <f>D68*E68</f>
        <v>324.76966823522906</v>
      </c>
      <c r="D68" s="65">
        <f>D$55*G63</f>
        <v>624.55705429851741</v>
      </c>
      <c r="E68" s="55">
        <v>0.52</v>
      </c>
      <c r="F68" s="7"/>
      <c r="G68" s="7"/>
    </row>
    <row r="69" spans="1:7" ht="15" thickBot="1" x14ac:dyDescent="0.4">
      <c r="A69" s="77"/>
      <c r="B69" s="23" t="s">
        <v>162</v>
      </c>
      <c r="C69" s="65">
        <f>D69*E69</f>
        <v>62.418981172668261</v>
      </c>
      <c r="D69" s="65">
        <f>D$55*G64</f>
        <v>78.023726465835324</v>
      </c>
      <c r="E69" s="55">
        <v>0.8</v>
      </c>
      <c r="F69" s="7"/>
      <c r="G69" s="7"/>
    </row>
    <row r="70" spans="1:7" ht="15" thickBot="1" x14ac:dyDescent="0.4">
      <c r="A70" s="77"/>
      <c r="B70" s="23" t="s">
        <v>179</v>
      </c>
      <c r="C70" s="65">
        <f>D70*E70</f>
        <v>1436.4505095356087</v>
      </c>
      <c r="D70" s="65">
        <f>D$55*G65</f>
        <v>1436.4505095356087</v>
      </c>
      <c r="E70" s="55">
        <v>1</v>
      </c>
      <c r="F70" s="7"/>
      <c r="G70" s="7"/>
    </row>
    <row r="71" spans="1:7" ht="15" thickBot="1" x14ac:dyDescent="0.4">
      <c r="A71" s="7"/>
      <c r="B71" s="7"/>
      <c r="C71" s="79"/>
      <c r="D71" s="79"/>
      <c r="E71" s="79"/>
      <c r="F71" s="7"/>
    </row>
    <row r="72" spans="1:7" ht="15" thickBot="1" x14ac:dyDescent="0.4">
      <c r="F72" s="7"/>
    </row>
    <row r="73" spans="1:7" ht="15" thickBot="1" x14ac:dyDescent="0.4">
      <c r="C73" s="85" t="s">
        <v>686</v>
      </c>
      <c r="D73" s="85"/>
      <c r="E73" s="85"/>
      <c r="F73" s="7"/>
    </row>
    <row r="74" spans="1:7" ht="15" thickBot="1" x14ac:dyDescent="0.4">
      <c r="B74" s="23" t="s">
        <v>159</v>
      </c>
      <c r="C74" s="18">
        <f t="shared" ref="C74:D78" si="103">C61+C66</f>
        <v>1265.4577587460774</v>
      </c>
      <c r="D74" s="18">
        <f t="shared" si="103"/>
        <v>11203.908293478598</v>
      </c>
      <c r="E74" s="21">
        <f>IF(D74=0,0,C74/D74)</f>
        <v>0.11294788618384675</v>
      </c>
      <c r="F74" s="7"/>
    </row>
    <row r="75" spans="1:7" ht="15" thickBot="1" x14ac:dyDescent="0.4">
      <c r="B75" s="23" t="s">
        <v>160</v>
      </c>
      <c r="C75" s="18">
        <f t="shared" si="103"/>
        <v>9.5409060214409429</v>
      </c>
      <c r="D75" s="18">
        <f t="shared" si="103"/>
        <v>9.5409060214409429</v>
      </c>
      <c r="E75" s="21">
        <f>IF(D75=0,0,C75/D75)</f>
        <v>1</v>
      </c>
      <c r="F75" s="7"/>
    </row>
    <row r="76" spans="1:7" ht="15" thickBot="1" x14ac:dyDescent="0.4">
      <c r="B76" s="23" t="s">
        <v>161</v>
      </c>
      <c r="C76" s="18">
        <f t="shared" si="103"/>
        <v>406.98477039522908</v>
      </c>
      <c r="D76" s="18">
        <f t="shared" si="103"/>
        <v>1899.7835086985174</v>
      </c>
      <c r="E76" s="21">
        <f>IF(D76=0,0,C76/D76)</f>
        <v>0.214226920347383</v>
      </c>
      <c r="F76" s="7"/>
    </row>
    <row r="77" spans="1:7" ht="15" thickBot="1" x14ac:dyDescent="0.4">
      <c r="B77" s="23" t="s">
        <v>162</v>
      </c>
      <c r="C77" s="18">
        <f t="shared" si="103"/>
        <v>320.80752121666831</v>
      </c>
      <c r="D77" s="18">
        <f t="shared" si="103"/>
        <v>600.35606526583535</v>
      </c>
      <c r="E77" s="21">
        <f>IF(D77=0,0,C77/D77)</f>
        <v>0.53436208906228999</v>
      </c>
      <c r="F77" s="7"/>
    </row>
    <row r="78" spans="1:7" ht="15" thickBot="1" x14ac:dyDescent="0.4">
      <c r="B78" s="23" t="s">
        <v>179</v>
      </c>
      <c r="C78" s="18">
        <f t="shared" si="103"/>
        <v>2792.0632606916088</v>
      </c>
      <c r="D78" s="18">
        <f t="shared" si="103"/>
        <v>2792.073021095609</v>
      </c>
      <c r="E78" s="21">
        <f>IF(D78=0,0,C78/D78)</f>
        <v>0.99999650424472197</v>
      </c>
      <c r="F78" s="7"/>
    </row>
    <row r="79" spans="1:7" ht="15" thickBot="1" x14ac:dyDescent="0.4">
      <c r="B79" s="37" t="s">
        <v>215</v>
      </c>
      <c r="C79" s="27">
        <f>SUM(C74:C78)</f>
        <v>4794.8542170710243</v>
      </c>
      <c r="D79" s="27">
        <f>SUM(D74:D78)</f>
        <v>16505.661794560001</v>
      </c>
      <c r="F79" s="7"/>
    </row>
    <row r="80" spans="1:7" ht="15" thickBot="1" x14ac:dyDescent="0.4">
      <c r="B80" s="7"/>
      <c r="E80" s="7"/>
      <c r="F80" s="7"/>
    </row>
    <row r="81" spans="2:6" ht="15" thickBot="1" x14ac:dyDescent="0.4">
      <c r="F81" s="7"/>
    </row>
    <row r="82" spans="2:6" ht="15" thickBot="1" x14ac:dyDescent="0.4">
      <c r="F82" s="7"/>
    </row>
    <row r="83" spans="2:6" ht="18" customHeight="1" thickBot="1" x14ac:dyDescent="0.4">
      <c r="B83" s="10" t="s">
        <v>202</v>
      </c>
      <c r="F83" s="7"/>
    </row>
    <row r="84" spans="2:6" ht="32" customHeight="1" thickBot="1" x14ac:dyDescent="0.4">
      <c r="B84" s="11" t="s">
        <v>203</v>
      </c>
      <c r="C84" s="11" t="s">
        <v>204</v>
      </c>
      <c r="D84" s="11" t="s">
        <v>205</v>
      </c>
      <c r="E84" s="11" t="s">
        <v>206</v>
      </c>
      <c r="F84" s="7"/>
    </row>
    <row r="85" spans="2:6" ht="15" thickBot="1" x14ac:dyDescent="0.4">
      <c r="B85" s="17">
        <v>2000</v>
      </c>
      <c r="C85" s="13">
        <v>6747</v>
      </c>
      <c r="D85" s="21">
        <v>0.27167630057803466</v>
      </c>
      <c r="E85" s="13">
        <f t="shared" ref="E85:E108" si="104">C85*D85</f>
        <v>1832.9999999999998</v>
      </c>
      <c r="F85" s="7"/>
    </row>
    <row r="86" spans="2:6" x14ac:dyDescent="0.35">
      <c r="B86" s="17">
        <v>2001</v>
      </c>
      <c r="C86" s="13">
        <v>7485</v>
      </c>
      <c r="D86" s="21">
        <v>0.2426185704742819</v>
      </c>
      <c r="E86" s="13">
        <f t="shared" si="104"/>
        <v>1816</v>
      </c>
    </row>
    <row r="87" spans="2:6" x14ac:dyDescent="0.35">
      <c r="B87" s="17">
        <v>2002</v>
      </c>
      <c r="C87" s="13">
        <v>6803</v>
      </c>
      <c r="D87" s="21">
        <v>0.27693664559753051</v>
      </c>
      <c r="E87" s="13">
        <f t="shared" si="104"/>
        <v>1884</v>
      </c>
    </row>
    <row r="88" spans="2:6" x14ac:dyDescent="0.35">
      <c r="B88" s="17">
        <v>2003</v>
      </c>
      <c r="C88" s="13">
        <v>7730</v>
      </c>
      <c r="D88" s="21">
        <v>0.2627425614489004</v>
      </c>
      <c r="E88" s="13">
        <f t="shared" si="104"/>
        <v>2031</v>
      </c>
    </row>
    <row r="89" spans="2:6" x14ac:dyDescent="0.35">
      <c r="B89" s="17">
        <v>2004</v>
      </c>
      <c r="C89" s="13">
        <v>7937</v>
      </c>
      <c r="D89" s="21">
        <v>0.27012725211036914</v>
      </c>
      <c r="E89" s="13">
        <f t="shared" si="104"/>
        <v>2144</v>
      </c>
    </row>
    <row r="90" spans="2:6" x14ac:dyDescent="0.35">
      <c r="B90" s="17">
        <v>2005</v>
      </c>
      <c r="C90" s="13">
        <v>8268</v>
      </c>
      <c r="D90" s="21">
        <v>0.26221577164973392</v>
      </c>
      <c r="E90" s="13">
        <f t="shared" si="104"/>
        <v>2168</v>
      </c>
    </row>
    <row r="91" spans="2:6" x14ac:dyDescent="0.35">
      <c r="B91" s="17">
        <v>2006</v>
      </c>
      <c r="C91" s="13">
        <v>7968</v>
      </c>
      <c r="D91" s="21">
        <v>0.29354919678714858</v>
      </c>
      <c r="E91" s="13">
        <f t="shared" si="104"/>
        <v>2339</v>
      </c>
    </row>
    <row r="92" spans="2:6" x14ac:dyDescent="0.35">
      <c r="B92" s="17">
        <v>2007</v>
      </c>
      <c r="C92" s="13">
        <v>8790</v>
      </c>
      <c r="D92" s="21">
        <v>0.27212741751990899</v>
      </c>
      <c r="E92" s="13">
        <f t="shared" si="104"/>
        <v>2392</v>
      </c>
    </row>
    <row r="93" spans="2:6" x14ac:dyDescent="0.35">
      <c r="B93" s="17">
        <v>2008</v>
      </c>
      <c r="C93" s="13">
        <v>8518</v>
      </c>
      <c r="D93" s="21">
        <v>0.27412538154496363</v>
      </c>
      <c r="E93" s="13">
        <f t="shared" si="104"/>
        <v>2335</v>
      </c>
    </row>
    <row r="94" spans="2:6" x14ac:dyDescent="0.35">
      <c r="B94" s="17">
        <v>2009</v>
      </c>
      <c r="C94" s="13">
        <v>6167</v>
      </c>
      <c r="D94" s="21">
        <v>0.31473974379763259</v>
      </c>
      <c r="E94" s="13">
        <f t="shared" si="104"/>
        <v>1941.0000000000002</v>
      </c>
    </row>
    <row r="95" spans="2:6" x14ac:dyDescent="0.35">
      <c r="B95" s="17">
        <v>2010</v>
      </c>
      <c r="C95" s="13">
        <v>6723</v>
      </c>
      <c r="D95" s="21">
        <v>0.31161683772125537</v>
      </c>
      <c r="E95" s="13">
        <f t="shared" si="104"/>
        <v>2095</v>
      </c>
    </row>
    <row r="96" spans="2:6" x14ac:dyDescent="0.35">
      <c r="B96" s="17">
        <v>2011</v>
      </c>
      <c r="C96" s="13">
        <v>6822</v>
      </c>
      <c r="D96" s="21">
        <v>0.29991204925241866</v>
      </c>
      <c r="E96" s="13">
        <f t="shared" si="104"/>
        <v>2046</v>
      </c>
    </row>
    <row r="97" spans="2:5" x14ac:dyDescent="0.35">
      <c r="B97" s="17">
        <v>2012</v>
      </c>
      <c r="C97" s="13">
        <v>6570</v>
      </c>
      <c r="D97" s="21">
        <v>0.33287671232876714</v>
      </c>
      <c r="E97" s="13">
        <f t="shared" si="104"/>
        <v>2187</v>
      </c>
    </row>
    <row r="98" spans="2:5" x14ac:dyDescent="0.35">
      <c r="B98" s="17">
        <v>2013</v>
      </c>
      <c r="C98" s="13">
        <v>7446</v>
      </c>
      <c r="D98" s="21">
        <v>0.28955143701316144</v>
      </c>
      <c r="E98" s="13">
        <f t="shared" si="104"/>
        <v>2156</v>
      </c>
    </row>
    <row r="99" spans="2:5" x14ac:dyDescent="0.35">
      <c r="B99" s="17">
        <v>2014</v>
      </c>
      <c r="C99" s="13">
        <v>6470</v>
      </c>
      <c r="D99" s="21">
        <v>0.32720247295208699</v>
      </c>
      <c r="E99" s="13">
        <f t="shared" si="104"/>
        <v>2117.0000000000027</v>
      </c>
    </row>
    <row r="100" spans="2:5" x14ac:dyDescent="0.35">
      <c r="B100" s="17">
        <v>2015</v>
      </c>
      <c r="C100" s="13">
        <v>6229</v>
      </c>
      <c r="D100" s="21">
        <v>0.33055065018462032</v>
      </c>
      <c r="E100" s="13">
        <f t="shared" si="104"/>
        <v>2059</v>
      </c>
    </row>
    <row r="101" spans="2:5" x14ac:dyDescent="0.35">
      <c r="B101" s="17">
        <v>2016</v>
      </c>
      <c r="C101" s="13">
        <v>5331</v>
      </c>
      <c r="D101" s="21">
        <v>0.40367660851622583</v>
      </c>
      <c r="E101" s="13">
        <f t="shared" si="104"/>
        <v>2152</v>
      </c>
    </row>
    <row r="102" spans="2:5" x14ac:dyDescent="0.35">
      <c r="B102" s="17">
        <v>2017</v>
      </c>
      <c r="C102" s="13">
        <v>5420</v>
      </c>
      <c r="D102" s="21">
        <v>0.42084870848708489</v>
      </c>
      <c r="E102" s="13">
        <f t="shared" si="104"/>
        <v>2281</v>
      </c>
    </row>
    <row r="103" spans="2:5" x14ac:dyDescent="0.35">
      <c r="B103" s="17">
        <v>2018</v>
      </c>
      <c r="C103" s="13">
        <v>5657</v>
      </c>
      <c r="D103" s="21">
        <v>0.41718225207707266</v>
      </c>
      <c r="E103" s="13">
        <f t="shared" si="104"/>
        <v>2360</v>
      </c>
    </row>
    <row r="104" spans="2:5" x14ac:dyDescent="0.35">
      <c r="B104" s="17">
        <v>2019</v>
      </c>
      <c r="C104" s="13">
        <v>5348</v>
      </c>
      <c r="D104" s="21">
        <v>0.39865370231862379</v>
      </c>
      <c r="E104" s="13">
        <f t="shared" si="104"/>
        <v>2132</v>
      </c>
    </row>
    <row r="105" spans="2:5" x14ac:dyDescent="0.35">
      <c r="B105" s="17">
        <v>2020</v>
      </c>
      <c r="C105" s="13">
        <v>4753</v>
      </c>
      <c r="D105" s="21">
        <v>0.44792762465811065</v>
      </c>
      <c r="E105" s="13">
        <f t="shared" si="104"/>
        <v>2129</v>
      </c>
    </row>
    <row r="106" spans="2:5" x14ac:dyDescent="0.35">
      <c r="B106" s="17">
        <v>2021</v>
      </c>
      <c r="C106" s="13">
        <v>4464</v>
      </c>
      <c r="D106" s="21">
        <v>0.49484767025089604</v>
      </c>
      <c r="E106" s="13">
        <f t="shared" si="104"/>
        <v>2209</v>
      </c>
    </row>
    <row r="107" spans="2:5" x14ac:dyDescent="0.35">
      <c r="B107" s="17">
        <v>2022</v>
      </c>
      <c r="C107" s="13">
        <v>4175</v>
      </c>
      <c r="D107" s="21">
        <v>0.50011976047904194</v>
      </c>
      <c r="E107" s="13">
        <f t="shared" si="104"/>
        <v>2088</v>
      </c>
    </row>
    <row r="108" spans="2:5" x14ac:dyDescent="0.35">
      <c r="B108" s="17">
        <v>2023</v>
      </c>
      <c r="C108" s="13">
        <v>3923</v>
      </c>
      <c r="D108" s="21">
        <v>0.45449910782564362</v>
      </c>
      <c r="E108" s="13">
        <f t="shared" si="104"/>
        <v>1783</v>
      </c>
    </row>
    <row r="110" spans="2:5" ht="18" customHeight="1" x14ac:dyDescent="0.35">
      <c r="B110" s="10" t="s">
        <v>207</v>
      </c>
    </row>
    <row r="111" spans="2:5" ht="32" customHeight="1" x14ac:dyDescent="0.35">
      <c r="B111" s="11" t="s">
        <v>208</v>
      </c>
      <c r="C111" s="11" t="s">
        <v>204</v>
      </c>
      <c r="D111" s="11" t="s">
        <v>212</v>
      </c>
      <c r="E111" s="11" t="s">
        <v>206</v>
      </c>
    </row>
    <row r="112" spans="2:5" x14ac:dyDescent="0.35">
      <c r="B112" s="17">
        <v>2000</v>
      </c>
      <c r="C112" s="13">
        <v>7732</v>
      </c>
      <c r="D112" s="66">
        <v>1.1769270563890325E-2</v>
      </c>
      <c r="E112" s="14">
        <f t="shared" ref="E112:E135" si="105">C112*D112</f>
        <v>91</v>
      </c>
    </row>
    <row r="113" spans="2:5" x14ac:dyDescent="0.35">
      <c r="B113" s="17">
        <v>2001</v>
      </c>
      <c r="C113" s="13">
        <v>7875</v>
      </c>
      <c r="D113" s="66">
        <v>1.0793650793650795E-2</v>
      </c>
      <c r="E113" s="14">
        <f t="shared" si="105"/>
        <v>85</v>
      </c>
    </row>
    <row r="114" spans="2:5" x14ac:dyDescent="0.35">
      <c r="B114" s="17">
        <v>2002</v>
      </c>
      <c r="C114" s="13">
        <v>7843</v>
      </c>
      <c r="D114" s="66">
        <v>1.2367716435037613E-2</v>
      </c>
      <c r="E114" s="14">
        <f t="shared" si="105"/>
        <v>97</v>
      </c>
    </row>
    <row r="115" spans="2:5" x14ac:dyDescent="0.35">
      <c r="B115" s="17">
        <v>2003</v>
      </c>
      <c r="C115" s="13">
        <v>8131</v>
      </c>
      <c r="D115" s="66">
        <v>1.2052638051900134E-2</v>
      </c>
      <c r="E115" s="14">
        <f t="shared" si="105"/>
        <v>98</v>
      </c>
    </row>
    <row r="116" spans="2:5" x14ac:dyDescent="0.35">
      <c r="B116" s="17">
        <v>2004</v>
      </c>
      <c r="C116" s="13">
        <v>8303</v>
      </c>
      <c r="D116" s="66">
        <v>9.5146332650849087E-3</v>
      </c>
      <c r="E116" s="14">
        <f t="shared" si="105"/>
        <v>79</v>
      </c>
    </row>
    <row r="117" spans="2:5" x14ac:dyDescent="0.35">
      <c r="B117" s="17">
        <v>2005</v>
      </c>
      <c r="C117" s="13">
        <v>9269</v>
      </c>
      <c r="D117" s="66">
        <v>9.4940122990613881E-3</v>
      </c>
      <c r="E117" s="14">
        <f t="shared" si="105"/>
        <v>88</v>
      </c>
    </row>
    <row r="118" spans="2:5" x14ac:dyDescent="0.35">
      <c r="B118" s="17">
        <v>2006</v>
      </c>
      <c r="C118" s="13">
        <v>9391</v>
      </c>
      <c r="D118" s="66">
        <v>8.8382493877116382E-3</v>
      </c>
      <c r="E118" s="14">
        <f t="shared" si="105"/>
        <v>83</v>
      </c>
    </row>
    <row r="119" spans="2:5" x14ac:dyDescent="0.35">
      <c r="B119" s="17">
        <v>2007</v>
      </c>
      <c r="C119" s="13">
        <v>9518</v>
      </c>
      <c r="D119" s="66">
        <v>8.0899348602647622E-3</v>
      </c>
      <c r="E119" s="14">
        <f t="shared" si="105"/>
        <v>77</v>
      </c>
    </row>
    <row r="120" spans="2:5" x14ac:dyDescent="0.35">
      <c r="B120" s="17">
        <v>2008</v>
      </c>
      <c r="C120" s="13">
        <v>8387</v>
      </c>
      <c r="D120" s="66">
        <v>9.5385715989030635E-3</v>
      </c>
      <c r="E120" s="14">
        <f t="shared" si="105"/>
        <v>80</v>
      </c>
    </row>
    <row r="121" spans="2:5" x14ac:dyDescent="0.35">
      <c r="B121" s="17">
        <v>2009</v>
      </c>
      <c r="C121" s="13">
        <v>8843</v>
      </c>
      <c r="D121" s="66">
        <v>6.5588601153454707E-3</v>
      </c>
      <c r="E121" s="14">
        <f t="shared" si="105"/>
        <v>58</v>
      </c>
    </row>
    <row r="122" spans="2:5" x14ac:dyDescent="0.35">
      <c r="B122" s="17">
        <v>2010</v>
      </c>
      <c r="C122" s="13">
        <v>8746</v>
      </c>
      <c r="D122" s="66">
        <v>1.0176080493940087E-2</v>
      </c>
      <c r="E122" s="14">
        <f t="shared" si="105"/>
        <v>89</v>
      </c>
    </row>
    <row r="123" spans="2:5" x14ac:dyDescent="0.35">
      <c r="B123" s="17">
        <v>2011</v>
      </c>
      <c r="C123" s="13">
        <v>8767</v>
      </c>
      <c r="D123" s="66">
        <v>9.0110642180905674E-3</v>
      </c>
      <c r="E123" s="14">
        <f t="shared" si="105"/>
        <v>79</v>
      </c>
    </row>
    <row r="124" spans="2:5" x14ac:dyDescent="0.35">
      <c r="B124" s="17">
        <v>2012</v>
      </c>
      <c r="C124" s="13">
        <v>8684</v>
      </c>
      <c r="D124" s="66">
        <v>9.0971902349147853E-3</v>
      </c>
      <c r="E124" s="14">
        <f t="shared" si="105"/>
        <v>79</v>
      </c>
    </row>
    <row r="125" spans="2:5" x14ac:dyDescent="0.35">
      <c r="B125" s="17">
        <v>2013</v>
      </c>
      <c r="C125" s="13">
        <v>9080</v>
      </c>
      <c r="D125" s="66">
        <v>6.3876651982378851E-3</v>
      </c>
      <c r="E125" s="14">
        <f t="shared" si="105"/>
        <v>58</v>
      </c>
    </row>
    <row r="126" spans="2:5" x14ac:dyDescent="0.35">
      <c r="B126" s="17">
        <v>2014</v>
      </c>
      <c r="C126" s="13">
        <v>8870</v>
      </c>
      <c r="D126" s="66">
        <v>5.6369785794813977E-3</v>
      </c>
      <c r="E126" s="14">
        <f t="shared" si="105"/>
        <v>50</v>
      </c>
    </row>
    <row r="127" spans="2:5" x14ac:dyDescent="0.35">
      <c r="B127" s="17">
        <v>2015</v>
      </c>
      <c r="C127" s="13">
        <v>9078</v>
      </c>
      <c r="D127" s="66">
        <v>5.5078211059704785E-3</v>
      </c>
      <c r="E127" s="14">
        <f t="shared" si="105"/>
        <v>50</v>
      </c>
    </row>
    <row r="128" spans="2:5" x14ac:dyDescent="0.35">
      <c r="B128" s="17">
        <v>2016</v>
      </c>
      <c r="C128" s="13">
        <v>9364</v>
      </c>
      <c r="D128" s="66">
        <v>5.1260145237078175E-3</v>
      </c>
      <c r="E128" s="14">
        <f t="shared" si="105"/>
        <v>48</v>
      </c>
    </row>
    <row r="129" spans="2:5" x14ac:dyDescent="0.35">
      <c r="B129" s="17">
        <v>2017</v>
      </c>
      <c r="C129" s="13">
        <v>9716</v>
      </c>
      <c r="D129" s="66">
        <v>5.1461506792918896E-3</v>
      </c>
      <c r="E129" s="14">
        <f t="shared" si="105"/>
        <v>50</v>
      </c>
    </row>
    <row r="130" spans="2:5" x14ac:dyDescent="0.35">
      <c r="B130" s="17">
        <v>2018</v>
      </c>
      <c r="C130" s="13">
        <v>9688</v>
      </c>
      <c r="D130" s="66">
        <v>5.2642444260941369E-3</v>
      </c>
      <c r="E130" s="14">
        <f t="shared" si="105"/>
        <v>51</v>
      </c>
    </row>
    <row r="131" spans="2:5" x14ac:dyDescent="0.35">
      <c r="B131" s="17">
        <v>2019</v>
      </c>
      <c r="C131" s="13">
        <v>9212</v>
      </c>
      <c r="D131" s="66">
        <v>4.9934867564046899E-3</v>
      </c>
      <c r="E131" s="14">
        <f t="shared" si="105"/>
        <v>46</v>
      </c>
    </row>
    <row r="132" spans="2:5" x14ac:dyDescent="0.35">
      <c r="B132" s="17">
        <v>2020</v>
      </c>
      <c r="C132" s="13">
        <v>9562</v>
      </c>
      <c r="D132" s="66">
        <v>7.111482953357038E-3</v>
      </c>
      <c r="E132" s="14">
        <f t="shared" si="105"/>
        <v>68</v>
      </c>
    </row>
    <row r="133" spans="2:5" x14ac:dyDescent="0.35">
      <c r="B133" s="17">
        <v>2021</v>
      </c>
      <c r="C133" s="13">
        <v>9326</v>
      </c>
      <c r="D133" s="66">
        <v>5.0396740295946818E-3</v>
      </c>
      <c r="E133" s="14">
        <f t="shared" si="105"/>
        <v>47</v>
      </c>
    </row>
    <row r="134" spans="2:5" x14ac:dyDescent="0.35">
      <c r="B134" s="17">
        <v>2022</v>
      </c>
      <c r="C134" s="13">
        <v>9838</v>
      </c>
      <c r="D134" s="66">
        <v>3.2526936369180726E-3</v>
      </c>
      <c r="E134" s="14">
        <f t="shared" si="105"/>
        <v>32</v>
      </c>
    </row>
    <row r="135" spans="2:5" x14ac:dyDescent="0.35">
      <c r="B135" s="17">
        <v>2023</v>
      </c>
      <c r="C135" s="13">
        <v>9909</v>
      </c>
      <c r="D135" s="66">
        <v>3.2293874255727118E-3</v>
      </c>
      <c r="E135" s="14">
        <f t="shared" si="105"/>
        <v>32</v>
      </c>
    </row>
    <row r="137" spans="2:5" ht="18" customHeight="1" x14ac:dyDescent="0.35">
      <c r="B137" s="10" t="s">
        <v>209</v>
      </c>
    </row>
    <row r="138" spans="2:5" ht="32" customHeight="1" x14ac:dyDescent="0.35">
      <c r="B138" s="11" t="s">
        <v>134</v>
      </c>
      <c r="C138" s="11" t="s">
        <v>204</v>
      </c>
      <c r="D138" s="11" t="s">
        <v>205</v>
      </c>
      <c r="E138" s="11" t="s">
        <v>206</v>
      </c>
    </row>
    <row r="139" spans="2:5" x14ac:dyDescent="0.35">
      <c r="B139" s="17">
        <v>2000</v>
      </c>
      <c r="C139" s="13">
        <v>14133</v>
      </c>
      <c r="D139" s="21">
        <v>0.20285855798485813</v>
      </c>
      <c r="E139" s="13">
        <f t="shared" ref="E139:E162" si="106">C139*D139</f>
        <v>2867</v>
      </c>
    </row>
    <row r="140" spans="2:5" x14ac:dyDescent="0.35">
      <c r="B140" s="17">
        <v>2001</v>
      </c>
      <c r="C140" s="13">
        <v>14462</v>
      </c>
      <c r="D140" s="21">
        <v>0.21186557875812473</v>
      </c>
      <c r="E140" s="13">
        <f t="shared" si="106"/>
        <v>3064</v>
      </c>
    </row>
    <row r="141" spans="2:5" x14ac:dyDescent="0.35">
      <c r="B141" s="17">
        <v>2002</v>
      </c>
      <c r="C141" s="13">
        <v>14135</v>
      </c>
      <c r="D141" s="21">
        <v>0.22313406437920055</v>
      </c>
      <c r="E141" s="13">
        <f t="shared" si="106"/>
        <v>3154</v>
      </c>
    </row>
    <row r="142" spans="2:5" x14ac:dyDescent="0.35">
      <c r="B142" s="17">
        <v>2003</v>
      </c>
      <c r="C142" s="13">
        <v>14689</v>
      </c>
      <c r="D142" s="21">
        <v>0.22179862482129484</v>
      </c>
      <c r="E142" s="13">
        <f t="shared" si="106"/>
        <v>3258</v>
      </c>
    </row>
    <row r="143" spans="2:5" x14ac:dyDescent="0.35">
      <c r="B143" s="17">
        <v>2004</v>
      </c>
      <c r="C143" s="13">
        <v>15152</v>
      </c>
      <c r="D143" s="21">
        <v>0.22888067581837382</v>
      </c>
      <c r="E143" s="13">
        <f t="shared" si="106"/>
        <v>3468</v>
      </c>
    </row>
    <row r="144" spans="2:5" x14ac:dyDescent="0.35">
      <c r="B144" s="17">
        <v>2005</v>
      </c>
      <c r="C144" s="13">
        <v>14866</v>
      </c>
      <c r="D144" s="21">
        <v>0.23873267859545272</v>
      </c>
      <c r="E144" s="13">
        <f t="shared" si="106"/>
        <v>3549</v>
      </c>
    </row>
    <row r="145" spans="2:5" x14ac:dyDescent="0.35">
      <c r="B145" s="17">
        <v>2006</v>
      </c>
      <c r="C145" s="13">
        <v>14869</v>
      </c>
      <c r="D145" s="21">
        <v>0.25899522496469163</v>
      </c>
      <c r="E145" s="13">
        <f t="shared" si="106"/>
        <v>3851</v>
      </c>
    </row>
    <row r="146" spans="2:5" x14ac:dyDescent="0.35">
      <c r="B146" s="17">
        <v>2007</v>
      </c>
      <c r="C146" s="13">
        <v>15950</v>
      </c>
      <c r="D146" s="21">
        <v>0.25899686520376175</v>
      </c>
      <c r="E146" s="13">
        <f t="shared" si="106"/>
        <v>4131</v>
      </c>
    </row>
    <row r="147" spans="2:5" x14ac:dyDescent="0.35">
      <c r="B147" s="17">
        <v>2008</v>
      </c>
      <c r="C147" s="13">
        <v>16111</v>
      </c>
      <c r="D147" s="21">
        <v>0.27298119297374462</v>
      </c>
      <c r="E147" s="13">
        <f t="shared" si="106"/>
        <v>4398</v>
      </c>
    </row>
    <row r="148" spans="2:5" x14ac:dyDescent="0.35">
      <c r="B148" s="17">
        <v>2009</v>
      </c>
      <c r="C148" s="13">
        <v>16153</v>
      </c>
      <c r="D148" s="21">
        <v>0.27505726490435212</v>
      </c>
      <c r="E148" s="13">
        <f t="shared" si="106"/>
        <v>4443</v>
      </c>
    </row>
    <row r="149" spans="2:5" x14ac:dyDescent="0.35">
      <c r="B149" s="17">
        <v>2010</v>
      </c>
      <c r="C149" s="13">
        <v>16879</v>
      </c>
      <c r="D149" s="21">
        <v>0.26861780911191419</v>
      </c>
      <c r="E149" s="13">
        <f t="shared" si="106"/>
        <v>4533.9999999999991</v>
      </c>
    </row>
    <row r="150" spans="2:5" x14ac:dyDescent="0.35">
      <c r="B150" s="17">
        <v>2011</v>
      </c>
      <c r="C150" s="13">
        <v>15558</v>
      </c>
      <c r="D150" s="21">
        <v>0.27715644684406737</v>
      </c>
      <c r="E150" s="13">
        <f t="shared" si="106"/>
        <v>4312</v>
      </c>
    </row>
    <row r="151" spans="2:5" x14ac:dyDescent="0.35">
      <c r="B151" s="17">
        <v>2012</v>
      </c>
      <c r="C151" s="13">
        <v>16220</v>
      </c>
      <c r="D151" s="21">
        <v>0.27694204685573365</v>
      </c>
      <c r="E151" s="13">
        <f t="shared" si="106"/>
        <v>4492</v>
      </c>
    </row>
    <row r="152" spans="2:5" x14ac:dyDescent="0.35">
      <c r="B152" s="17">
        <v>2013</v>
      </c>
      <c r="C152" s="13">
        <v>15720</v>
      </c>
      <c r="D152" s="21">
        <v>0.27958015267175573</v>
      </c>
      <c r="E152" s="13">
        <f t="shared" si="106"/>
        <v>4395</v>
      </c>
    </row>
    <row r="153" spans="2:5" x14ac:dyDescent="0.35">
      <c r="B153" s="17">
        <v>2014</v>
      </c>
      <c r="C153" s="13">
        <v>15653</v>
      </c>
      <c r="D153" s="21">
        <v>0.28965693477288701</v>
      </c>
      <c r="E153" s="13">
        <f t="shared" si="106"/>
        <v>4534</v>
      </c>
    </row>
    <row r="154" spans="2:5" x14ac:dyDescent="0.35">
      <c r="B154" s="17">
        <v>2015</v>
      </c>
      <c r="C154" s="13">
        <v>15387</v>
      </c>
      <c r="D154" s="21">
        <v>0.29511925651524012</v>
      </c>
      <c r="E154" s="13">
        <f t="shared" si="106"/>
        <v>4541</v>
      </c>
    </row>
    <row r="155" spans="2:5" x14ac:dyDescent="0.35">
      <c r="B155" s="17">
        <v>2016</v>
      </c>
      <c r="C155" s="13">
        <v>16619</v>
      </c>
      <c r="D155" s="21">
        <v>0.29388049822492329</v>
      </c>
      <c r="E155" s="13">
        <f t="shared" si="106"/>
        <v>4884</v>
      </c>
    </row>
    <row r="156" spans="2:5" x14ac:dyDescent="0.35">
      <c r="B156" s="17">
        <v>2017</v>
      </c>
      <c r="C156" s="13">
        <v>16415</v>
      </c>
      <c r="D156" s="21">
        <v>0.28358208955223879</v>
      </c>
      <c r="E156" s="13">
        <f t="shared" si="106"/>
        <v>4655</v>
      </c>
    </row>
    <row r="157" spans="2:5" x14ac:dyDescent="0.35">
      <c r="B157" s="17">
        <v>2018</v>
      </c>
      <c r="C157" s="13">
        <v>16649</v>
      </c>
      <c r="D157" s="21">
        <v>0.28788515826776384</v>
      </c>
      <c r="E157" s="13">
        <f t="shared" si="106"/>
        <v>4793</v>
      </c>
    </row>
    <row r="158" spans="2:5" x14ac:dyDescent="0.35">
      <c r="B158" s="17">
        <v>2019</v>
      </c>
      <c r="C158" s="13">
        <v>16441</v>
      </c>
      <c r="D158" s="21">
        <v>0.30357034243659142</v>
      </c>
      <c r="E158" s="13">
        <f t="shared" si="106"/>
        <v>4991</v>
      </c>
    </row>
    <row r="159" spans="2:5" x14ac:dyDescent="0.35">
      <c r="B159" s="17">
        <v>2020</v>
      </c>
      <c r="C159" s="13">
        <v>16423</v>
      </c>
      <c r="D159" s="21">
        <v>0.29495220118127019</v>
      </c>
      <c r="E159" s="13">
        <f t="shared" si="106"/>
        <v>4844</v>
      </c>
    </row>
    <row r="160" spans="2:5" x14ac:dyDescent="0.35">
      <c r="B160" s="17">
        <v>2021</v>
      </c>
      <c r="C160" s="13">
        <v>17179</v>
      </c>
      <c r="D160" s="21">
        <v>0.31928517375865884</v>
      </c>
      <c r="E160" s="13">
        <f t="shared" si="106"/>
        <v>5485</v>
      </c>
    </row>
    <row r="161" spans="2:5" x14ac:dyDescent="0.35">
      <c r="B161" s="17">
        <v>2022</v>
      </c>
      <c r="C161" s="13">
        <v>16514</v>
      </c>
      <c r="D161" s="21">
        <v>0.29508295991280126</v>
      </c>
      <c r="E161" s="13">
        <f t="shared" si="106"/>
        <v>4873</v>
      </c>
    </row>
    <row r="162" spans="2:5" x14ac:dyDescent="0.35">
      <c r="B162" s="17">
        <v>2023</v>
      </c>
      <c r="C162" s="13">
        <v>15085</v>
      </c>
      <c r="D162" s="21">
        <v>0.26602585349685115</v>
      </c>
      <c r="E162" s="13">
        <f t="shared" si="106"/>
        <v>4012.9999999999995</v>
      </c>
    </row>
  </sheetData>
  <sheetProtection algorithmName="SHA-512" hashValue="Tlat2/85CmcM2ml4c5HgfnWzjSVejmrfLv8suhBZRFiqH4hN55a85T9DK10871gGzVVn2Wn/bTJ+v/ZO/V6DHw==" saltValue="cEpOuSjjIFQfPj9cIrSnGg==" spinCount="100000" sheet="1" objects="1" scenarios="1"/>
  <mergeCells count="37">
    <mergeCell ref="A30:A33"/>
    <mergeCell ref="A34:A38"/>
    <mergeCell ref="A39:A51"/>
    <mergeCell ref="C71:E71"/>
    <mergeCell ref="C73:E73"/>
    <mergeCell ref="A61:A65"/>
    <mergeCell ref="A66:A70"/>
    <mergeCell ref="DR5:DV5"/>
    <mergeCell ref="DW5:EA5"/>
    <mergeCell ref="A9:A13"/>
    <mergeCell ref="A14:A26"/>
    <mergeCell ref="CS5:CW5"/>
    <mergeCell ref="CX5:DB5"/>
    <mergeCell ref="DC5:DG5"/>
    <mergeCell ref="DH5:DL5"/>
    <mergeCell ref="DM5:DQ5"/>
    <mergeCell ref="BT5:BX5"/>
    <mergeCell ref="BY5:CC5"/>
    <mergeCell ref="CD5:CH5"/>
    <mergeCell ref="CI5:CM5"/>
    <mergeCell ref="CN5:CR5"/>
    <mergeCell ref="A1:J3"/>
    <mergeCell ref="N4:AG4"/>
    <mergeCell ref="AL4:BJ4"/>
    <mergeCell ref="BO4:CM4"/>
    <mergeCell ref="A5:A8"/>
    <mergeCell ref="K5:K26"/>
    <mergeCell ref="N5:R5"/>
    <mergeCell ref="S5:W5"/>
    <mergeCell ref="X5:AB5"/>
    <mergeCell ref="AC5:AG5"/>
    <mergeCell ref="AL5:AP5"/>
    <mergeCell ref="AQ5:AU5"/>
    <mergeCell ref="AV5:AZ5"/>
    <mergeCell ref="BA5:BE5"/>
    <mergeCell ref="BF5:BJ5"/>
    <mergeCell ref="BO5:BS5"/>
  </mergeCells>
  <hyperlinks>
    <hyperlink ref="H5" r:id="rId1" xr:uid="{00000000-0004-0000-0500-000000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4D33"/>
  </sheetPr>
  <dimension ref="A1:EF166"/>
  <sheetViews>
    <sheetView showGridLines="0" zoomScale="56" zoomScaleNormal="74" workbookViewId="0">
      <selection activeCell="H14" sqref="H14"/>
    </sheetView>
  </sheetViews>
  <sheetFormatPr defaultColWidth="8.54296875" defaultRowHeight="14.5" x14ac:dyDescent="0.35"/>
  <cols>
    <col min="1" max="1" width="13" customWidth="1"/>
    <col min="2" max="2" width="33" customWidth="1"/>
    <col min="3" max="4" width="13" style="7" customWidth="1"/>
    <col min="5" max="6" width="14" customWidth="1"/>
    <col min="7" max="7" width="22" customWidth="1"/>
    <col min="8" max="8" width="30" customWidth="1"/>
    <col min="9" max="9" width="36" customWidth="1"/>
    <col min="10" max="10" width="12" customWidth="1"/>
    <col min="11" max="11" width="11" customWidth="1"/>
    <col min="12" max="12" width="12" customWidth="1"/>
    <col min="13" max="15" width="10.54296875" style="7" customWidth="1"/>
    <col min="16" max="16" width="11.6328125" style="7" customWidth="1"/>
    <col min="17" max="17" width="10.54296875" style="7" customWidth="1"/>
    <col min="18" max="18" width="15.453125" style="7" customWidth="1"/>
    <col min="19" max="20" width="10.54296875" style="7" customWidth="1"/>
    <col min="21" max="21" width="11.6328125" style="7" customWidth="1"/>
    <col min="22" max="22" width="10.54296875" style="7" customWidth="1"/>
    <col min="23" max="23" width="15.453125" style="7" customWidth="1"/>
    <col min="24" max="25" width="10.54296875" style="7" customWidth="1"/>
    <col min="26" max="26" width="11.6328125" style="7" customWidth="1"/>
    <col min="27" max="27" width="10.54296875" style="7" customWidth="1"/>
    <col min="28" max="28" width="15.453125" style="7" customWidth="1"/>
    <col min="29" max="30" width="10.54296875" style="7" customWidth="1"/>
    <col min="31" max="31" width="11.6328125" style="7" customWidth="1"/>
    <col min="32" max="32" width="10.54296875" style="7" customWidth="1"/>
    <col min="33" max="34" width="15.453125" style="7" customWidth="1"/>
    <col min="35" max="36" width="10.1796875" style="7" customWidth="1"/>
    <col min="37" max="39" width="10.54296875" style="7" customWidth="1"/>
    <col min="40" max="40" width="11.6328125" style="7" customWidth="1"/>
    <col min="41" max="41" width="10.54296875" style="7" customWidth="1"/>
    <col min="42" max="42" width="15.453125" style="7" customWidth="1"/>
    <col min="43" max="44" width="10.54296875" style="7" customWidth="1"/>
    <col min="45" max="45" width="11.6328125" style="7" customWidth="1"/>
    <col min="46" max="46" width="10.54296875" style="7" customWidth="1"/>
    <col min="47" max="47" width="15.453125" style="7" customWidth="1"/>
    <col min="48" max="49" width="10.54296875" style="7" customWidth="1"/>
    <col min="50" max="50" width="11.6328125" style="7" customWidth="1"/>
    <col min="51" max="51" width="10.54296875" style="7" customWidth="1"/>
    <col min="52" max="52" width="15.453125" style="7" customWidth="1"/>
    <col min="53" max="54" width="10.54296875" style="7" customWidth="1"/>
    <col min="55" max="55" width="11.6328125" style="7" customWidth="1"/>
    <col min="56" max="63" width="10.54296875" style="7" customWidth="1"/>
    <col min="64" max="65" width="10.1796875" style="7" customWidth="1"/>
    <col min="66" max="68" width="10.54296875" style="7" customWidth="1"/>
    <col min="69" max="69" width="11.6328125" style="7" customWidth="1"/>
    <col min="70" max="70" width="10.54296875" style="7" customWidth="1"/>
    <col min="71" max="71" width="15.453125" style="7" customWidth="1"/>
    <col min="72" max="73" width="10.54296875" style="7" customWidth="1"/>
    <col min="74" max="74" width="11.6328125" style="7" customWidth="1"/>
    <col min="75" max="75" width="10.54296875" style="7" customWidth="1"/>
    <col min="76" max="76" width="15.453125" style="7" customWidth="1"/>
    <col min="77" max="78" width="10.54296875" style="7" customWidth="1"/>
    <col min="79" max="79" width="11.6328125" style="7" customWidth="1"/>
    <col min="80" max="80" width="10.54296875" style="7" customWidth="1"/>
    <col min="81" max="81" width="15.453125" style="7" customWidth="1"/>
    <col min="82" max="83" width="10.54296875" style="7" customWidth="1"/>
    <col min="84" max="84" width="11.6328125" style="7" customWidth="1"/>
    <col min="85" max="85" width="10.54296875" style="7" customWidth="1"/>
    <col min="86" max="86" width="15.453125" style="7" customWidth="1"/>
    <col min="87" max="88" width="10.54296875" style="7" customWidth="1"/>
    <col min="89" max="89" width="11.6328125" style="7" customWidth="1"/>
    <col min="90" max="90" width="10.54296875" style="7" customWidth="1"/>
    <col min="91" max="91" width="15.453125" style="7" customWidth="1"/>
    <col min="92" max="93" width="10.54296875" style="7" customWidth="1"/>
    <col min="94" max="94" width="11.6328125" style="7" customWidth="1"/>
    <col min="95" max="95" width="10.54296875" style="7" customWidth="1"/>
    <col min="96" max="96" width="15.453125" style="7" customWidth="1"/>
    <col min="97" max="98" width="10.54296875" style="7" customWidth="1"/>
    <col min="99" max="99" width="11.6328125" style="7" customWidth="1"/>
    <col min="100" max="100" width="10.54296875" style="7" customWidth="1"/>
    <col min="101" max="101" width="15.453125" style="7" customWidth="1"/>
    <col min="102" max="103" width="10.54296875" style="7" customWidth="1"/>
    <col min="104" max="104" width="11.6328125" style="7" customWidth="1"/>
    <col min="105" max="105" width="10.54296875" style="7" customWidth="1"/>
    <col min="106" max="106" width="15.453125" style="7" customWidth="1"/>
    <col min="107" max="108" width="10.54296875" style="7" customWidth="1"/>
    <col min="109" max="109" width="11.6328125" style="7" customWidth="1"/>
    <col min="110" max="110" width="10.54296875" style="7" customWidth="1"/>
    <col min="111" max="111" width="15.453125" style="7" customWidth="1"/>
    <col min="112" max="113" width="10.54296875" style="7" customWidth="1"/>
    <col min="114" max="114" width="11.6328125" style="7" customWidth="1"/>
    <col min="115" max="115" width="10.54296875" style="7" customWidth="1"/>
    <col min="116" max="116" width="15.453125" style="7" customWidth="1"/>
    <col min="117" max="118" width="10.54296875" style="7" customWidth="1"/>
    <col min="119" max="119" width="11.6328125" style="7" customWidth="1"/>
    <col min="120" max="128" width="10.54296875" style="7" customWidth="1"/>
    <col min="129" max="129" width="11.6328125" style="7" customWidth="1"/>
    <col min="130" max="130" width="10.54296875" style="7" customWidth="1"/>
    <col min="131" max="132" width="15.453125" style="7" customWidth="1"/>
    <col min="133" max="134" width="10.1796875" style="7" customWidth="1"/>
  </cols>
  <sheetData>
    <row r="1" spans="1:136" ht="24" customHeight="1" x14ac:dyDescent="0.35">
      <c r="A1" s="82" t="s">
        <v>141</v>
      </c>
      <c r="B1" s="82"/>
      <c r="C1" s="82"/>
      <c r="D1" s="82"/>
      <c r="E1" s="82"/>
      <c r="F1" s="82"/>
      <c r="G1" s="82"/>
      <c r="H1" s="82"/>
      <c r="I1" s="82"/>
      <c r="J1" s="82"/>
    </row>
    <row r="2" spans="1:136" x14ac:dyDescent="0.35">
      <c r="A2" s="82"/>
      <c r="B2" s="82"/>
      <c r="C2" s="82"/>
      <c r="D2" s="82"/>
      <c r="E2" s="82"/>
      <c r="F2" s="82"/>
      <c r="G2" s="82"/>
      <c r="H2" s="82"/>
      <c r="I2" s="82"/>
      <c r="J2" s="82"/>
    </row>
    <row r="3" spans="1:136" ht="15" customHeight="1" thickBot="1" x14ac:dyDescent="0.4">
      <c r="A3" s="82"/>
      <c r="B3" s="82"/>
      <c r="C3" s="82"/>
      <c r="D3" s="82"/>
      <c r="E3" s="82"/>
      <c r="F3" s="82"/>
      <c r="G3" s="82"/>
      <c r="H3" s="82"/>
      <c r="I3" s="82"/>
      <c r="J3" s="82"/>
    </row>
    <row r="4" spans="1:136" ht="58" customHeight="1" thickTop="1" thickBot="1" x14ac:dyDescent="0.4">
      <c r="A4" s="11" t="s">
        <v>142</v>
      </c>
      <c r="B4" s="22" t="s">
        <v>143</v>
      </c>
      <c r="C4" s="28" t="s">
        <v>144</v>
      </c>
      <c r="D4" s="28" t="s">
        <v>145</v>
      </c>
      <c r="E4" s="54" t="s">
        <v>146</v>
      </c>
      <c r="F4" s="54" t="s">
        <v>147</v>
      </c>
      <c r="G4" s="11" t="s">
        <v>214</v>
      </c>
      <c r="H4" s="22" t="s">
        <v>148</v>
      </c>
      <c r="I4" s="22" t="s">
        <v>149</v>
      </c>
      <c r="J4" s="11" t="s">
        <v>150</v>
      </c>
      <c r="K4" s="11" t="s">
        <v>151</v>
      </c>
      <c r="L4" s="22" t="s">
        <v>152</v>
      </c>
      <c r="N4" s="83" t="s">
        <v>128</v>
      </c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L4" s="83" t="s">
        <v>153</v>
      </c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O4" s="83" t="s">
        <v>126</v>
      </c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</row>
    <row r="5" spans="1:136" ht="28.5" customHeight="1" thickBot="1" x14ac:dyDescent="0.4">
      <c r="A5" s="77" t="s">
        <v>128</v>
      </c>
      <c r="B5" s="23" t="s">
        <v>154</v>
      </c>
      <c r="C5" s="34">
        <v>66.057000000000002</v>
      </c>
      <c r="D5" s="34">
        <v>252.01400000000001</v>
      </c>
      <c r="E5" s="21">
        <f t="shared" ref="E5:E26" si="0">IF(D5=0,0,C5/D5)</f>
        <v>0.26211639035926576</v>
      </c>
      <c r="F5" s="21">
        <f>4655 / 9787</f>
        <v>0.47563093900071524</v>
      </c>
      <c r="G5" s="55">
        <v>0.9</v>
      </c>
      <c r="H5" s="23" t="s">
        <v>155</v>
      </c>
      <c r="I5" s="23" t="s">
        <v>156</v>
      </c>
      <c r="J5" s="56">
        <f>F5/E30</f>
        <v>1.8145791583227553</v>
      </c>
      <c r="K5" s="84">
        <f>'Efficiency Assumptions'!B12</f>
        <v>0.3</v>
      </c>
      <c r="L5" s="7"/>
      <c r="N5" s="85" t="s">
        <v>154</v>
      </c>
      <c r="O5" s="85"/>
      <c r="P5" s="85"/>
      <c r="Q5" s="85"/>
      <c r="R5" s="85"/>
      <c r="S5" s="85" t="s">
        <v>157</v>
      </c>
      <c r="T5" s="85"/>
      <c r="U5" s="85"/>
      <c r="V5" s="85"/>
      <c r="W5" s="85"/>
      <c r="X5" s="85" t="s">
        <v>158</v>
      </c>
      <c r="Y5" s="85"/>
      <c r="Z5" s="85"/>
      <c r="AA5" s="85"/>
      <c r="AB5" s="85"/>
      <c r="AC5" s="85" t="s">
        <v>158</v>
      </c>
      <c r="AD5" s="85"/>
      <c r="AE5" s="85"/>
      <c r="AF5" s="85"/>
      <c r="AG5" s="85"/>
      <c r="AL5" s="85" t="s">
        <v>159</v>
      </c>
      <c r="AM5" s="85"/>
      <c r="AN5" s="85"/>
      <c r="AO5" s="85"/>
      <c r="AP5" s="85"/>
      <c r="AQ5" s="85" t="s">
        <v>160</v>
      </c>
      <c r="AR5" s="85"/>
      <c r="AS5" s="85"/>
      <c r="AT5" s="85"/>
      <c r="AU5" s="85"/>
      <c r="AV5" s="85" t="s">
        <v>161</v>
      </c>
      <c r="AW5" s="85"/>
      <c r="AX5" s="85"/>
      <c r="AY5" s="85"/>
      <c r="AZ5" s="85"/>
      <c r="BA5" s="85" t="s">
        <v>162</v>
      </c>
      <c r="BB5" s="85"/>
      <c r="BC5" s="85"/>
      <c r="BD5" s="85"/>
      <c r="BE5" s="85"/>
      <c r="BF5" s="85" t="s">
        <v>163</v>
      </c>
      <c r="BG5" s="85"/>
      <c r="BH5" s="85"/>
      <c r="BI5" s="85"/>
      <c r="BJ5" s="85"/>
      <c r="BO5" s="85" t="s">
        <v>31</v>
      </c>
      <c r="BP5" s="85"/>
      <c r="BQ5" s="85"/>
      <c r="BR5" s="85"/>
      <c r="BS5" s="85"/>
      <c r="BT5" s="85" t="s">
        <v>33</v>
      </c>
      <c r="BU5" s="85"/>
      <c r="BV5" s="85"/>
      <c r="BW5" s="85"/>
      <c r="BX5" s="85"/>
      <c r="BY5" s="85" t="s">
        <v>34</v>
      </c>
      <c r="BZ5" s="85"/>
      <c r="CA5" s="85"/>
      <c r="CB5" s="85"/>
      <c r="CC5" s="85"/>
      <c r="CD5" s="85" t="s">
        <v>164</v>
      </c>
      <c r="CE5" s="85"/>
      <c r="CF5" s="85"/>
      <c r="CG5" s="85"/>
      <c r="CH5" s="85"/>
      <c r="CI5" s="85" t="s">
        <v>36</v>
      </c>
      <c r="CJ5" s="85"/>
      <c r="CK5" s="85"/>
      <c r="CL5" s="85"/>
      <c r="CM5" s="85"/>
      <c r="CN5" s="85" t="s">
        <v>37</v>
      </c>
      <c r="CO5" s="85"/>
      <c r="CP5" s="85"/>
      <c r="CQ5" s="85"/>
      <c r="CR5" s="85"/>
      <c r="CS5" s="85" t="s">
        <v>38</v>
      </c>
      <c r="CT5" s="85"/>
      <c r="CU5" s="85"/>
      <c r="CV5" s="85"/>
      <c r="CW5" s="85"/>
      <c r="CX5" s="85" t="s">
        <v>40</v>
      </c>
      <c r="CY5" s="85"/>
      <c r="CZ5" s="85"/>
      <c r="DA5" s="85"/>
      <c r="DB5" s="85"/>
      <c r="DC5" s="85" t="s">
        <v>41</v>
      </c>
      <c r="DD5" s="85"/>
      <c r="DE5" s="85"/>
      <c r="DF5" s="85"/>
      <c r="DG5" s="85"/>
      <c r="DH5" s="85" t="s">
        <v>42</v>
      </c>
      <c r="DI5" s="85"/>
      <c r="DJ5" s="85"/>
      <c r="DK5" s="85"/>
      <c r="DL5" s="85"/>
      <c r="DM5" s="85" t="s">
        <v>43</v>
      </c>
      <c r="DN5" s="85"/>
      <c r="DO5" s="85"/>
      <c r="DP5" s="85"/>
      <c r="DQ5" s="85"/>
      <c r="DR5" s="85" t="s">
        <v>44</v>
      </c>
      <c r="DS5" s="85"/>
      <c r="DT5" s="85"/>
      <c r="DU5" s="85"/>
      <c r="DV5" s="85"/>
      <c r="DW5" s="85" t="s">
        <v>45</v>
      </c>
      <c r="DX5" s="85"/>
      <c r="DY5" s="85"/>
      <c r="DZ5" s="85"/>
      <c r="EA5" s="85"/>
    </row>
    <row r="6" spans="1:136" ht="84" customHeight="1" thickBot="1" x14ac:dyDescent="0.4">
      <c r="A6" s="77"/>
      <c r="B6" s="23" t="s">
        <v>157</v>
      </c>
      <c r="C6" s="34">
        <v>55.283999999999999</v>
      </c>
      <c r="D6" s="34">
        <v>10966.79</v>
      </c>
      <c r="E6" s="21">
        <f t="shared" si="0"/>
        <v>5.0410375324046507E-3</v>
      </c>
      <c r="F6" s="44">
        <v>1.2E-2</v>
      </c>
      <c r="G6" s="55">
        <v>0.8</v>
      </c>
      <c r="H6" s="23" t="s">
        <v>165</v>
      </c>
      <c r="I6" s="23" t="s">
        <v>156</v>
      </c>
      <c r="J6" s="40">
        <v>2.5</v>
      </c>
      <c r="K6" s="84"/>
      <c r="L6" s="57"/>
      <c r="M6" s="28" t="s">
        <v>73</v>
      </c>
      <c r="N6" s="54" t="s">
        <v>166</v>
      </c>
      <c r="O6" s="28" t="s">
        <v>167</v>
      </c>
      <c r="P6" s="28" t="s">
        <v>168</v>
      </c>
      <c r="Q6" s="28" t="s">
        <v>169</v>
      </c>
      <c r="R6" s="54" t="s">
        <v>170</v>
      </c>
      <c r="S6" s="54" t="s">
        <v>166</v>
      </c>
      <c r="T6" s="28" t="s">
        <v>167</v>
      </c>
      <c r="U6" s="28" t="s">
        <v>168</v>
      </c>
      <c r="V6" s="28" t="s">
        <v>169</v>
      </c>
      <c r="W6" s="54" t="s">
        <v>170</v>
      </c>
      <c r="X6" s="54" t="s">
        <v>166</v>
      </c>
      <c r="Y6" s="28" t="s">
        <v>167</v>
      </c>
      <c r="Z6" s="28" t="s">
        <v>168</v>
      </c>
      <c r="AA6" s="28" t="s">
        <v>169</v>
      </c>
      <c r="AB6" s="54" t="s">
        <v>170</v>
      </c>
      <c r="AC6" s="54" t="s">
        <v>166</v>
      </c>
      <c r="AD6" s="28" t="s">
        <v>167</v>
      </c>
      <c r="AE6" s="28" t="s">
        <v>168</v>
      </c>
      <c r="AF6" s="28" t="s">
        <v>169</v>
      </c>
      <c r="AG6" s="54" t="s">
        <v>170</v>
      </c>
      <c r="AH6" s="54" t="s">
        <v>171</v>
      </c>
      <c r="AI6" s="11" t="s">
        <v>172</v>
      </c>
      <c r="AJ6" s="54" t="s">
        <v>173</v>
      </c>
      <c r="AL6" s="54" t="s">
        <v>166</v>
      </c>
      <c r="AM6" s="28" t="s">
        <v>167</v>
      </c>
      <c r="AN6" s="28" t="s">
        <v>168</v>
      </c>
      <c r="AO6" s="28" t="s">
        <v>169</v>
      </c>
      <c r="AP6" s="54" t="s">
        <v>170</v>
      </c>
      <c r="AQ6" s="54" t="s">
        <v>166</v>
      </c>
      <c r="AR6" s="28" t="s">
        <v>167</v>
      </c>
      <c r="AS6" s="28" t="s">
        <v>168</v>
      </c>
      <c r="AT6" s="28" t="s">
        <v>169</v>
      </c>
      <c r="AU6" s="54" t="s">
        <v>170</v>
      </c>
      <c r="AV6" s="28" t="s">
        <v>166</v>
      </c>
      <c r="AW6" s="28" t="s">
        <v>167</v>
      </c>
      <c r="AX6" s="28" t="s">
        <v>168</v>
      </c>
      <c r="AY6" s="28" t="s">
        <v>169</v>
      </c>
      <c r="AZ6" s="54" t="s">
        <v>170</v>
      </c>
      <c r="BA6" s="28" t="s">
        <v>166</v>
      </c>
      <c r="BB6" s="28" t="s">
        <v>167</v>
      </c>
      <c r="BC6" s="28" t="s">
        <v>168</v>
      </c>
      <c r="BD6" s="28" t="s">
        <v>169</v>
      </c>
      <c r="BE6" s="54" t="s">
        <v>170</v>
      </c>
      <c r="BF6" s="28" t="s">
        <v>166</v>
      </c>
      <c r="BG6" s="28" t="s">
        <v>167</v>
      </c>
      <c r="BH6" s="28" t="s">
        <v>168</v>
      </c>
      <c r="BI6" s="28" t="s">
        <v>169</v>
      </c>
      <c r="BJ6" s="54" t="s">
        <v>170</v>
      </c>
      <c r="BK6" s="54" t="s">
        <v>171</v>
      </c>
      <c r="BL6" s="11" t="s">
        <v>172</v>
      </c>
      <c r="BM6" s="54" t="s">
        <v>173</v>
      </c>
      <c r="BO6" s="54" t="s">
        <v>166</v>
      </c>
      <c r="BP6" s="28" t="s">
        <v>167</v>
      </c>
      <c r="BQ6" s="28" t="s">
        <v>168</v>
      </c>
      <c r="BR6" s="28" t="s">
        <v>169</v>
      </c>
      <c r="BS6" s="54" t="s">
        <v>170</v>
      </c>
      <c r="BT6" s="54" t="s">
        <v>166</v>
      </c>
      <c r="BU6" s="28" t="s">
        <v>167</v>
      </c>
      <c r="BV6" s="28" t="s">
        <v>168</v>
      </c>
      <c r="BW6" s="28" t="s">
        <v>169</v>
      </c>
      <c r="BX6" s="54" t="s">
        <v>170</v>
      </c>
      <c r="BY6" s="54" t="s">
        <v>166</v>
      </c>
      <c r="BZ6" s="28" t="s">
        <v>167</v>
      </c>
      <c r="CA6" s="28" t="s">
        <v>168</v>
      </c>
      <c r="CB6" s="28" t="s">
        <v>169</v>
      </c>
      <c r="CC6" s="54" t="s">
        <v>170</v>
      </c>
      <c r="CD6" s="54" t="s">
        <v>166</v>
      </c>
      <c r="CE6" s="28" t="s">
        <v>167</v>
      </c>
      <c r="CF6" s="28" t="s">
        <v>168</v>
      </c>
      <c r="CG6" s="28" t="s">
        <v>169</v>
      </c>
      <c r="CH6" s="54" t="s">
        <v>170</v>
      </c>
      <c r="CI6" s="54" t="s">
        <v>166</v>
      </c>
      <c r="CJ6" s="28" t="s">
        <v>167</v>
      </c>
      <c r="CK6" s="28" t="s">
        <v>168</v>
      </c>
      <c r="CL6" s="28" t="s">
        <v>169</v>
      </c>
      <c r="CM6" s="54" t="s">
        <v>170</v>
      </c>
      <c r="CN6" s="54" t="s">
        <v>166</v>
      </c>
      <c r="CO6" s="28" t="s">
        <v>167</v>
      </c>
      <c r="CP6" s="28" t="s">
        <v>168</v>
      </c>
      <c r="CQ6" s="28" t="s">
        <v>169</v>
      </c>
      <c r="CR6" s="54" t="s">
        <v>170</v>
      </c>
      <c r="CS6" s="28" t="s">
        <v>166</v>
      </c>
      <c r="CT6" s="28" t="s">
        <v>167</v>
      </c>
      <c r="CU6" s="28" t="s">
        <v>168</v>
      </c>
      <c r="CV6" s="28" t="s">
        <v>169</v>
      </c>
      <c r="CW6" s="54" t="s">
        <v>170</v>
      </c>
      <c r="CX6" s="54" t="s">
        <v>166</v>
      </c>
      <c r="CY6" s="28" t="s">
        <v>167</v>
      </c>
      <c r="CZ6" s="28" t="s">
        <v>168</v>
      </c>
      <c r="DA6" s="28" t="s">
        <v>169</v>
      </c>
      <c r="DB6" s="54" t="s">
        <v>170</v>
      </c>
      <c r="DC6" s="54" t="s">
        <v>166</v>
      </c>
      <c r="DD6" s="28" t="s">
        <v>167</v>
      </c>
      <c r="DE6" s="28" t="s">
        <v>168</v>
      </c>
      <c r="DF6" s="28" t="s">
        <v>169</v>
      </c>
      <c r="DG6" s="54" t="s">
        <v>170</v>
      </c>
      <c r="DH6" s="54" t="s">
        <v>166</v>
      </c>
      <c r="DI6" s="28" t="s">
        <v>167</v>
      </c>
      <c r="DJ6" s="28" t="s">
        <v>168</v>
      </c>
      <c r="DK6" s="28" t="s">
        <v>169</v>
      </c>
      <c r="DL6" s="54" t="s">
        <v>170</v>
      </c>
      <c r="DM6" s="54" t="s">
        <v>166</v>
      </c>
      <c r="DN6" s="28" t="s">
        <v>167</v>
      </c>
      <c r="DO6" s="28" t="s">
        <v>168</v>
      </c>
      <c r="DP6" s="28" t="s">
        <v>169</v>
      </c>
      <c r="DQ6" s="54" t="s">
        <v>170</v>
      </c>
      <c r="DR6" s="54" t="s">
        <v>166</v>
      </c>
      <c r="DS6" s="28" t="s">
        <v>167</v>
      </c>
      <c r="DT6" s="28" t="s">
        <v>168</v>
      </c>
      <c r="DU6" s="28" t="s">
        <v>169</v>
      </c>
      <c r="DV6" s="54" t="s">
        <v>170</v>
      </c>
      <c r="DW6" s="54" t="s">
        <v>166</v>
      </c>
      <c r="DX6" s="28" t="s">
        <v>167</v>
      </c>
      <c r="DY6" s="28" t="s">
        <v>168</v>
      </c>
      <c r="DZ6" s="28" t="s">
        <v>169</v>
      </c>
      <c r="EA6" s="54" t="s">
        <v>170</v>
      </c>
      <c r="EB6" s="54" t="s">
        <v>171</v>
      </c>
      <c r="EC6" s="11" t="s">
        <v>172</v>
      </c>
      <c r="ED6" s="54" t="s">
        <v>173</v>
      </c>
      <c r="EF6" s="7"/>
    </row>
    <row r="7" spans="1:136" ht="19.5" customHeight="1" thickBot="1" x14ac:dyDescent="0.4">
      <c r="A7" s="77"/>
      <c r="B7" s="23" t="s">
        <v>158</v>
      </c>
      <c r="C7" s="34">
        <v>0</v>
      </c>
      <c r="D7" s="34">
        <v>8.593</v>
      </c>
      <c r="E7" s="21">
        <f t="shared" si="0"/>
        <v>0</v>
      </c>
      <c r="F7" s="44">
        <v>0</v>
      </c>
      <c r="G7" s="55">
        <v>0</v>
      </c>
      <c r="H7" s="38"/>
      <c r="I7" s="23" t="s">
        <v>174</v>
      </c>
      <c r="J7" s="40">
        <v>3</v>
      </c>
      <c r="K7" s="84"/>
      <c r="L7" s="57"/>
      <c r="M7" s="47">
        <f>2024</f>
        <v>2024</v>
      </c>
      <c r="N7" s="21">
        <f>F5</f>
        <v>0.47563093900071524</v>
      </c>
      <c r="O7" s="18">
        <f>D5</f>
        <v>252.01400000000001</v>
      </c>
      <c r="P7" s="18">
        <f t="shared" ref="P7:P34" si="1">O7*N7/(N$7+(1-N$7)*$J$5)</f>
        <v>83.990110542916199</v>
      </c>
      <c r="Q7" s="18">
        <f t="shared" ref="Q7:Q34" si="2">O7*(1-E$5)*(1-N7)/(1-N$7)+P7</f>
        <v>269.94711054291622</v>
      </c>
      <c r="R7" s="21">
        <f t="shared" ref="R7:R34" si="3">P7/Q7</f>
        <v>0.31113543084049217</v>
      </c>
      <c r="S7" s="21">
        <f>F6</f>
        <v>1.2E-2</v>
      </c>
      <c r="T7" s="18">
        <f>D6</f>
        <v>10966.79</v>
      </c>
      <c r="U7" s="18">
        <f t="shared" ref="U7:U34" si="4">T7*S7/(S$7+(1-S$7)*$J$6)</f>
        <v>53.022352941176479</v>
      </c>
      <c r="V7" s="18">
        <f t="shared" ref="V7:V34" si="5">T7*(1-E$6)*(1-S7)/(1-S$7)+U7</f>
        <v>10964.528352941175</v>
      </c>
      <c r="W7" s="21">
        <f t="shared" ref="W7:W34" si="6">U7/V7</f>
        <v>4.8358079102375174E-3</v>
      </c>
      <c r="X7" s="21">
        <f>F7</f>
        <v>0</v>
      </c>
      <c r="Y7" s="18">
        <f>$D7</f>
        <v>8.593</v>
      </c>
      <c r="Z7" s="18">
        <f t="shared" ref="Z7:Z34" si="7">Y7*X7/(X$7+(1-X$7)*$J$7)</f>
        <v>0</v>
      </c>
      <c r="AA7" s="18">
        <f t="shared" ref="AA7:AA34" si="8">Y7*(1-$E$7)*(1-X7)/(1-X$7)+Z7</f>
        <v>8.593</v>
      </c>
      <c r="AB7" s="21">
        <f t="shared" ref="AB7:AB34" si="9">Z7/AA7</f>
        <v>0</v>
      </c>
      <c r="AC7" s="21">
        <f>F8</f>
        <v>0</v>
      </c>
      <c r="AD7" s="18">
        <f>$D8</f>
        <v>9.1470000000000002</v>
      </c>
      <c r="AE7" s="18">
        <f t="shared" ref="AE7:AE34" si="10">AD7*AC7/(AC$7+(1-AC$7)*$J$8)</f>
        <v>0</v>
      </c>
      <c r="AF7" s="18">
        <f t="shared" ref="AF7:AF34" si="11">AD7*(1-$E$8)*(1-AC7)/(1-AC$7)+AE7</f>
        <v>9.1470000000000002</v>
      </c>
      <c r="AG7" s="21">
        <f t="shared" ref="AG7:AG34" si="12">AE7/AF7</f>
        <v>0</v>
      </c>
      <c r="AH7" s="21">
        <f t="shared" ref="AH7:AH34" si="13">SUM(P7,U7,Z7,AE7)/SUM(Q7,V7,AA7,AF7)</f>
        <v>1.2176487726237395E-2</v>
      </c>
      <c r="AI7" s="18">
        <f t="shared" ref="AI7:AI34" si="14">SUM(O7,T7,Y7,AD7) - SUM(Q7,V7,AA7,AF7)</f>
        <v>-15.671463484091873</v>
      </c>
      <c r="AJ7" s="21">
        <f t="shared" ref="AJ7:AJ34" si="15">AI7/SUM(O7,T7,Y7,AD7)</f>
        <v>-1.3946871461627233E-3</v>
      </c>
      <c r="AL7" s="21">
        <f>$F9</f>
        <v>0.11739177712889021</v>
      </c>
      <c r="AM7" s="18">
        <f>LAT_FEC!$B134*$D$9/SUM($D$9:$D$13)</f>
        <v>12204.872426215343</v>
      </c>
      <c r="AN7" s="18">
        <f t="shared" ref="AN7:AN34" si="16">AM7*AL7/(AL$7+(1-AL$7)*$J$9)</f>
        <v>616.52569358743392</v>
      </c>
      <c r="AO7" s="18">
        <f t="shared" ref="AO7:AO34" si="17">AM7*(1-$E$9)*(1-AL7)/(1-AL$7)+AN7</f>
        <v>12172.071894817429</v>
      </c>
      <c r="AP7" s="21">
        <f t="shared" ref="AP7:AP34" si="18">AN7/AO7</f>
        <v>5.0650842265394069E-2</v>
      </c>
      <c r="AQ7" s="21">
        <f>$F10</f>
        <v>1</v>
      </c>
      <c r="AR7" s="18">
        <f>LAT_FEC!$B134*$D$10/SUM($D$9:$D$13)</f>
        <v>13.806161584191488</v>
      </c>
      <c r="AS7" s="18">
        <f t="shared" ref="AS7:AS34" si="19">AR7*AQ7/(AQ$7+(1-AQ$7)*$J$10)</f>
        <v>13.806161584191488</v>
      </c>
      <c r="AT7" s="18">
        <f t="shared" ref="AT7:AT34" si="20">IF(AQ7=100%,AS7,AR7*(1-$E$10)*(1-AQ7)/(1-AQ$7)+AS7)</f>
        <v>13.806161584191488</v>
      </c>
      <c r="AU7" s="21">
        <f t="shared" ref="AU7:AU34" si="21">IF(AT7=0,0,AS7/AT7)</f>
        <v>1</v>
      </c>
      <c r="AV7" s="18">
        <f>$F11</f>
        <v>0.67317654956600803</v>
      </c>
      <c r="AW7" s="18">
        <f>LAT_FEC!$B134*$D$11/SUM($D$9:$D$13)</f>
        <v>3087.8176432789533</v>
      </c>
      <c r="AX7" s="18">
        <f t="shared" ref="AX7:AX34" si="22">AW7*AV7/(AV$7+(1-AV$7)*$J$11)</f>
        <v>1394.8445592713522</v>
      </c>
      <c r="AY7" s="18">
        <f t="shared" ref="AY7:AY34" si="23">AW7*(1-$E$11)*(1-AV7)/(1-AV$7)+AX7</f>
        <v>3087.8176432789533</v>
      </c>
      <c r="AZ7" s="21">
        <f t="shared" ref="AZ7:AZ34" si="24">IF(AY7=0,0,AX7/AY7)</f>
        <v>0.45172504351331022</v>
      </c>
      <c r="BA7" s="18">
        <f>$F12</f>
        <v>0.18257967679129822</v>
      </c>
      <c r="BB7" s="18">
        <f>LAT_FEC!$B134*$D$12/SUM($D$9:$D$13)</f>
        <v>1041.5897541296158</v>
      </c>
      <c r="BC7" s="18">
        <f t="shared" ref="BC7:BC34" si="25">BB7*BA7/(BA$7+(1-BA$7)*$J$12)</f>
        <v>190.17312065811302</v>
      </c>
      <c r="BD7" s="18">
        <f t="shared" ref="BD7:BD34" si="26">BB7*(1-$E$12)*(1-BA7)/(1-BA$7)+BC7</f>
        <v>1041.5897541296158</v>
      </c>
      <c r="BE7" s="21">
        <f t="shared" ref="BE7:BE34" si="27">IF(BD7=0,0,BC7/BD7)</f>
        <v>0.18257967679129822</v>
      </c>
      <c r="BF7" s="18">
        <f>$F13</f>
        <v>1</v>
      </c>
      <c r="BG7" s="18">
        <f>LAT_FEC!$B134*$D$13/SUM($D$9:$D$13)</f>
        <v>2401.9140147918952</v>
      </c>
      <c r="BH7" s="18">
        <f t="shared" ref="BH7:BH34" si="28">BG7*BF7/(BF$7+(1-BF$7)*$J$13)</f>
        <v>2401.9140147918952</v>
      </c>
      <c r="BI7" s="18">
        <f t="shared" ref="BI7:BI34" si="29">IF(BF7=1,BH7,BG7*(1-$E$13)*(1-BF7)/(1-BF$7)+BH7)</f>
        <v>2401.9140147918952</v>
      </c>
      <c r="BJ7" s="21">
        <f t="shared" ref="BJ7:BJ34" si="30">IF(BI7=0,0,BH7/BI7)</f>
        <v>1</v>
      </c>
      <c r="BK7" s="21">
        <f t="shared" ref="BK7:BK34" si="31">SUM(AS7,AX7,BC7,BH7,AN7)/SUM(AT7,AY7,BD7,BI7,AO7)</f>
        <v>0.2466855983256683</v>
      </c>
      <c r="BL7" s="18">
        <f t="shared" ref="BL7:BL34" si="32">SUM(AM7,AR7,AW7,BB7,BG7) - SUM(AO7,AT7,AY7,BD7,BI7)</f>
        <v>32.80053139791562</v>
      </c>
      <c r="BM7" s="21">
        <f t="shared" ref="BM7:BM34" si="33">BL7/SUM(AM7,AR7,AW7,BB7,BG7)</f>
        <v>1.7493616745554996E-3</v>
      </c>
      <c r="BO7" s="21">
        <f>$F14</f>
        <v>0.84508925728598416</v>
      </c>
      <c r="BP7" s="18">
        <f>LAT_FEC!$B81*$D$14/SUM($D$14:D$26)</f>
        <v>18.422976326358171</v>
      </c>
      <c r="BQ7" s="18">
        <f t="shared" ref="BQ7:BQ34" si="34">BP7*BO7/(BO$7+(1-BO$7)*$J$14)</f>
        <v>14.449841538244639</v>
      </c>
      <c r="BR7" s="18">
        <f t="shared" ref="BR7:BR34" si="35">BP7*(1-$E$14)*(1-BO7)/(1-BO$7)+BQ7</f>
        <v>18.422976326358171</v>
      </c>
      <c r="BS7" s="21">
        <f t="shared" ref="BS7:BS34" si="36">IF(BR7=0,0,BQ7/BR7)</f>
        <v>0.78433806146572105</v>
      </c>
      <c r="BT7" s="21">
        <f>$F15</f>
        <v>0.4825782014174988</v>
      </c>
      <c r="BU7" s="18">
        <f>LAT_FEC!$B81*$D$15/SUM($D$14:D$26)</f>
        <v>259.06167189133686</v>
      </c>
      <c r="BV7" s="18">
        <f t="shared" ref="BV7:BV34" si="37">BU7*BT7/(BT$7+(1-BT$7)*$J$15)</f>
        <v>90.532813983906777</v>
      </c>
      <c r="BW7" s="18">
        <f t="shared" ref="BW7:BW34" si="38">BU7*(1-$E$15)*(1-BT7)/(1-BT$7)+BV7</f>
        <v>259.06167189133686</v>
      </c>
      <c r="BX7" s="21">
        <f t="shared" ref="BX7:BX34" si="39">IF(BW7=0,0,BV7/BW7)</f>
        <v>0.34946433149663558</v>
      </c>
      <c r="BY7" s="21">
        <f>$F16</f>
        <v>0.59489442532705683</v>
      </c>
      <c r="BZ7" s="18">
        <f>LAT_FEC!$B81*$D$16/SUM($D$14:$D$26)</f>
        <v>23.925914999727798</v>
      </c>
      <c r="CA7" s="18">
        <f t="shared" ref="CA7:CA34" si="40">BZ7*BY7/(BY$7+(1-BY$7)*$J$16)</f>
        <v>11.368457199970784</v>
      </c>
      <c r="CB7" s="18">
        <f t="shared" ref="CB7:CB34" si="41">BZ7*(1-$E$16)*(1-BY7)/(1-BY$7)+CA7</f>
        <v>23.925914999727802</v>
      </c>
      <c r="CC7" s="21">
        <f t="shared" ref="CC7:CC34" si="42">IF(CB7=0,0,CA7/CB7)</f>
        <v>0.47515245289888058</v>
      </c>
      <c r="CD7" s="21">
        <f>$F17</f>
        <v>0.23288012210877188</v>
      </c>
      <c r="CE7" s="18">
        <f>LAT_FEC!$B81*$D$17/SUM($D$14:$D$26)</f>
        <v>1896.0443795283518</v>
      </c>
      <c r="CF7" s="18">
        <f t="shared" ref="CF7:CF34" si="43">CE7*CD7/(CD$7+(1-CD$7)*$J$17)</f>
        <v>313.4867588696473</v>
      </c>
      <c r="CG7" s="18">
        <f t="shared" ref="CG7:CG34" si="44">CE7*(1-$E$17)*(1-CD7)/(1-CD$7)+CF7</f>
        <v>1896.0443795283518</v>
      </c>
      <c r="CH7" s="21">
        <f t="shared" ref="CH7:CH34" si="45">IF(CG7=0,0,CF7/CG7)</f>
        <v>0.16533724751085643</v>
      </c>
      <c r="CI7" s="21">
        <f>$F18</f>
        <v>0.56952085447710543</v>
      </c>
      <c r="CJ7" s="18">
        <f>LAT_FEC!$B81*$D$18/SUM($D$14:$D$26)</f>
        <v>104.52752525593286</v>
      </c>
      <c r="CK7" s="18">
        <f t="shared" ref="CK7:CK34" si="46">CJ7*CI7/(CI$7+(1-CI$7)*$J$18)</f>
        <v>43.553135523305357</v>
      </c>
      <c r="CL7" s="18">
        <f t="shared" ref="CL7:CL34" si="47">CJ7*(1-$E$18)*(1-CI7)/(1-CI$7)+CK7</f>
        <v>104.52752525593286</v>
      </c>
      <c r="CM7" s="21">
        <f t="shared" ref="CM7:CM34" si="48">IF(CL7=0,0,CK7/CL7)</f>
        <v>0.41666666666666669</v>
      </c>
      <c r="CN7" s="21">
        <f>$F19</f>
        <v>0.58850305369905032</v>
      </c>
      <c r="CO7" s="18">
        <f>LAT_FEC!$B81*$D$19/SUM($D$16:Y$28)</f>
        <v>5.3221427459702291</v>
      </c>
      <c r="CP7" s="18">
        <f t="shared" ref="CP7:CP34" si="49">CO7*CN7/(CN$7+(1-CN$7)*$J$19)</f>
        <v>2.3215756200559041</v>
      </c>
      <c r="CQ7" s="18">
        <f t="shared" ref="CQ7:CQ34" si="50">CO7*(1-$E$19)*(1-CN7)/(1-CN$7)+CP7</f>
        <v>5.3221427459702291</v>
      </c>
      <c r="CR7" s="21">
        <f t="shared" ref="CR7:CR34" si="51">IF(CQ7=0,0,CP7/CQ7)</f>
        <v>0.43621070137845014</v>
      </c>
      <c r="CS7" s="18">
        <f>$F20</f>
        <v>0.1947952336728147</v>
      </c>
      <c r="CT7" s="18">
        <f>LAT_FEC!$B81*$D$20/SUM($D$14:$D$26)</f>
        <v>173.71930283341999</v>
      </c>
      <c r="CU7" s="18">
        <f t="shared" ref="CU7:CU34" si="52">CT7*CS7/(CS$7+(1-CS$7)*$J$20)</f>
        <v>13.798722162171217</v>
      </c>
      <c r="CV7" s="18">
        <f t="shared" ref="CV7:CV34" si="53">CT7*(1-$E$20)*(1-CS7)/(1-CS$7)+CU7</f>
        <v>173.71930283341999</v>
      </c>
      <c r="CW7" s="21">
        <f t="shared" ref="CW7:CW34" si="54">IF(CV7=0,0,CU7/CV7)</f>
        <v>7.9431139413464358E-2</v>
      </c>
      <c r="CX7" s="21">
        <f>$F21</f>
        <v>0.55701357231517246</v>
      </c>
      <c r="CY7" s="18">
        <f>LAT_FEC!$B81*$D$21/SUM($D$14:$D$26)</f>
        <v>909.05628823986274</v>
      </c>
      <c r="CZ7" s="18">
        <f t="shared" ref="CZ7:CZ34" si="55">CY7*CX7/(CX$7+(1-CX$7)*$J$21)</f>
        <v>304.21320748834756</v>
      </c>
      <c r="DA7" s="18">
        <f t="shared" ref="DA7:DA34" si="56">CY7*(1-$E$21)*(1-CX7)/(1-CX$7)+CZ7</f>
        <v>909.05628823986285</v>
      </c>
      <c r="DB7" s="21">
        <f t="shared" ref="DB7:DB34" si="57">IF(DA7=0,0,CZ7/DA7)</f>
        <v>0.33464727258789734</v>
      </c>
      <c r="DC7" s="21">
        <f>$F22</f>
        <v>0.63123964269835497</v>
      </c>
      <c r="DD7" s="18">
        <f>LAT_FEC!$B81*$D$22/SUM($D$14:$D$26)</f>
        <v>66.943346956096505</v>
      </c>
      <c r="DE7" s="18">
        <f t="shared" ref="DE7:DE34" si="58">DD7*DC7/(DC$7+(1-DC$7)*$J$22)</f>
        <v>27.207643761408857</v>
      </c>
      <c r="DF7" s="18">
        <f t="shared" ref="DF7:DF34" si="59">DD7*(1-$E$22)*(1-DC7)/(1-DC$7)+DE7</f>
        <v>66.943346956096505</v>
      </c>
      <c r="DG7" s="21">
        <f t="shared" ref="DG7:DG34" si="60">IF(DF7=0,0,DE7/DF7)</f>
        <v>0.40642789759604436</v>
      </c>
      <c r="DH7" s="21">
        <f>$F23</f>
        <v>0.24704874400623647</v>
      </c>
      <c r="DI7" s="18">
        <f>LAT_FEC!$B81*$D$23/SUM($D$14:$D$26)</f>
        <v>7244.0122860789588</v>
      </c>
      <c r="DJ7" s="18">
        <f t="shared" ref="DJ7:DJ34" si="61">DI7*DH7/(DH$7+(1-DH$7)*$J$23)</f>
        <v>840.42525728223814</v>
      </c>
      <c r="DK7" s="18">
        <f t="shared" ref="DK7:DK34" si="62">DI7*(1-$E$23)*(1-DH7)/(1-DH$7)+DJ7</f>
        <v>7244.0122860789588</v>
      </c>
      <c r="DL7" s="21">
        <f t="shared" ref="DL7:DL34" si="63">IF(DK7=0,0,DJ7/DK7)</f>
        <v>0.11601654222720041</v>
      </c>
      <c r="DM7" s="21">
        <f>$F24</f>
        <v>0.34882099154881152</v>
      </c>
      <c r="DN7" s="18">
        <f>LAT_FEC!$B81*$D$24/SUM($D$14:$D$26)</f>
        <v>390.9623428236672</v>
      </c>
      <c r="DO7" s="18">
        <f t="shared" ref="DO7:DO34" si="64">DN7*DM7/(DM$7+(1-DM$7)*$J$24)</f>
        <v>62.714337496783557</v>
      </c>
      <c r="DP7" s="18">
        <f t="shared" ref="DP7:DP34" si="65">DN7*(1-$E$24)*(1-DM7)/(1-DM$7)+DO7</f>
        <v>390.9623428236672</v>
      </c>
      <c r="DQ7" s="21">
        <f t="shared" ref="DQ7:DQ34" si="66">IF(DP7=0,0,DO7/DP7)</f>
        <v>0.16041017414577222</v>
      </c>
      <c r="DR7" s="21">
        <f>$F25</f>
        <v>0.51444699629081292</v>
      </c>
      <c r="DS7" s="18">
        <f>LAT_FEC!$B81*$D$25/SUM($D$14:$D$26)</f>
        <v>71.942158085783873</v>
      </c>
      <c r="DT7" s="18">
        <f t="shared" ref="DT7:DT34" si="67">DS7*DR7/(DR$7+(1-DR$7)*$J$25)</f>
        <v>21.413987908421166</v>
      </c>
      <c r="DU7" s="18">
        <f t="shared" ref="DU7:DU34" si="68">DS7*(1-$E$25)*(1-DR7)/(1-DR$7)+DT7</f>
        <v>71.942158085783873</v>
      </c>
      <c r="DV7" s="21">
        <f t="shared" ref="DV7:DV34" si="69">IF(DU7=0,0,DT7/DU7)</f>
        <v>0.29765562332571555</v>
      </c>
      <c r="DW7" s="21">
        <f>$F26</f>
        <v>0.52269793949574206</v>
      </c>
      <c r="DX7" s="18">
        <f>LAT_FEC!$B81*$D$26/SUM($D$14:$D$26)</f>
        <v>337.11542371942858</v>
      </c>
      <c r="DY7" s="18">
        <f t="shared" ref="DY7:DY34" si="70">DX7*DW7/(DW$7+(1-DW$7)*$J$26)</f>
        <v>116.09088273737046</v>
      </c>
      <c r="DZ7" s="18">
        <f t="shared" ref="DZ7:DZ34" si="71">DX7*(1-$E$26)*(1-DW7)/(1-DW$7)+DY7</f>
        <v>337.11542371942858</v>
      </c>
      <c r="EA7" s="21">
        <f t="shared" ref="EA7:EA34" si="72">IF(DZ7=0,0,DY7/DZ7)</f>
        <v>0.34436538517439519</v>
      </c>
      <c r="EB7" s="21">
        <f t="shared" ref="EB7:EB34" si="73">SUM(DJ7,DO7,DT7,DY7,DE7,CZ7,CU7,CP7,CK7,CF7,CA7,BV7,BQ7,)/SUM(DK7,DP7,DU7,DZ7,DF7,DA7,CV7,CQ7,CL7,CG7,CB7,BW7,BR7)</f>
        <v>0.16186136825192188</v>
      </c>
      <c r="EC7" s="18">
        <f t="shared" ref="EC7:EC34" si="74">SUM(BP7,BU7,BZ7,CE7,CJ7,CO7,CT7,CY7,DD7,DI7,DN7,DS7,DX7) - SUM(BR7,BW7,CB7,CG7,CL7,CQ7,CV7,DA7,DF7,DK7,DP7,DU7,DZ7)</f>
        <v>0</v>
      </c>
      <c r="ED7" s="21">
        <f t="shared" ref="ED7:ED34" si="75">EC7/SUM(BP7,BU7,BZ7,CE7,CJ7,CO7,CT7,CY7,DD7,DI7,DN7,DS7,DX7)</f>
        <v>0</v>
      </c>
    </row>
    <row r="8" spans="1:136" ht="19.5" customHeight="1" thickBot="1" x14ac:dyDescent="0.4">
      <c r="A8" s="77"/>
      <c r="B8" s="23" t="s">
        <v>175</v>
      </c>
      <c r="C8" s="34">
        <v>0</v>
      </c>
      <c r="D8" s="34">
        <v>9.1470000000000002</v>
      </c>
      <c r="E8" s="21">
        <f t="shared" si="0"/>
        <v>0</v>
      </c>
      <c r="F8" s="44">
        <v>0</v>
      </c>
      <c r="G8" s="55">
        <v>0</v>
      </c>
      <c r="H8" s="38"/>
      <c r="I8" s="23" t="s">
        <v>176</v>
      </c>
      <c r="J8" s="40">
        <v>3</v>
      </c>
      <c r="K8" s="84"/>
      <c r="L8" s="57"/>
      <c r="M8" s="47">
        <f t="shared" ref="M8:M34" si="76">M7+1</f>
        <v>2025</v>
      </c>
      <c r="N8" s="21">
        <f t="shared" ref="N8:N34" si="77">N$7+(G$5-F$5)*1/(1+EXP(-$K$5*($M7-($M$7+($M$34-$M$7)/2))))</f>
        <v>0.48289784893943111</v>
      </c>
      <c r="O8" s="18">
        <f>LAT_FEC!B188*D$5/SUM(D$5:D$8)</f>
        <v>290.89207322109002</v>
      </c>
      <c r="P8" s="18">
        <f t="shared" si="1"/>
        <v>98.42842732062816</v>
      </c>
      <c r="Q8" s="18">
        <f t="shared" si="2"/>
        <v>310.09829364395171</v>
      </c>
      <c r="R8" s="21">
        <f t="shared" si="3"/>
        <v>0.31741041256306168</v>
      </c>
      <c r="S8" s="21">
        <f t="shared" ref="S8:S34" si="78">S$7+(G$6-F$6)*1/(1+EXP(-$K$5*($M7-($M$7+($M$34-$M$7)/2))))</f>
        <v>2.5493738252793458E-2</v>
      </c>
      <c r="T8" s="18">
        <f>LAT_FEC!B188*D$6/SUM(D$5:D$8)</f>
        <v>12658.63118588776</v>
      </c>
      <c r="U8" s="18">
        <f t="shared" si="4"/>
        <v>130.02249399342105</v>
      </c>
      <c r="V8" s="18">
        <f t="shared" si="5"/>
        <v>12552.825675664428</v>
      </c>
      <c r="W8" s="21">
        <f t="shared" si="6"/>
        <v>1.0358025941958992E-2</v>
      </c>
      <c r="X8" s="21">
        <f t="shared" ref="X8:X34" si="79">X$7+(G$7-F$7)*1/(1+EXP(-$K$5*($M7-($M$7+($M$34-$M$7)/2))))</f>
        <v>0</v>
      </c>
      <c r="Y8" s="18">
        <f>LAT_FEC!$B188*$D$7/SUM($D$5:$D$8)</f>
        <v>9.9186377946813522</v>
      </c>
      <c r="Z8" s="18">
        <f t="shared" si="7"/>
        <v>0</v>
      </c>
      <c r="AA8" s="18">
        <f t="shared" si="8"/>
        <v>9.9186377946813522</v>
      </c>
      <c r="AB8" s="21">
        <f t="shared" si="9"/>
        <v>0</v>
      </c>
      <c r="AC8" s="21">
        <f t="shared" ref="AC8:AC34" si="80">AC$7+($L$8-$F$8)*1/(1+EXP(-$K$5*($M7-($M$7+($M$34-$M$7)/2))))</f>
        <v>0</v>
      </c>
      <c r="AD8" s="18">
        <f>LAT_FEC!$B188*$D$8/SUM($D$5:$D$8)</f>
        <v>10.558103096468093</v>
      </c>
      <c r="AE8" s="18">
        <f t="shared" si="10"/>
        <v>0</v>
      </c>
      <c r="AF8" s="18">
        <f t="shared" si="11"/>
        <v>10.558103096468093</v>
      </c>
      <c r="AG8" s="21">
        <f t="shared" si="12"/>
        <v>0</v>
      </c>
      <c r="AH8" s="21">
        <f t="shared" si="13"/>
        <v>1.7732190937225854E-2</v>
      </c>
      <c r="AI8" s="18">
        <f t="shared" si="14"/>
        <v>86.599289800469705</v>
      </c>
      <c r="AJ8" s="21">
        <f t="shared" si="15"/>
        <v>6.6768920432127774E-3</v>
      </c>
      <c r="AL8" s="21">
        <f t="shared" ref="AL8:AL34" si="81">AL$7+($L$9-$F$9)*1/(1+EXP(-$K$5*($M7-($M$7+($M$34-$M$7)/2))))</f>
        <v>0.12878099894130196</v>
      </c>
      <c r="AM8" s="18">
        <f>LAT_FEC!B135*$D$9/SUM($D$9:$D$13)</f>
        <v>12385.179074858632</v>
      </c>
      <c r="AN8" s="18">
        <f t="shared" si="16"/>
        <v>686.33214333494334</v>
      </c>
      <c r="AO8" s="18">
        <f t="shared" si="17"/>
        <v>12261.276017723552</v>
      </c>
      <c r="AP8" s="21">
        <f t="shared" si="18"/>
        <v>5.5975588702420295E-2</v>
      </c>
      <c r="AQ8" s="21">
        <f t="shared" ref="AQ8:AQ34" si="82">AQ$7+($L$10-$F$10)*1/(1+EXP(-$K$5*($M7-($M$7+($M$34-$M$7)/2))))</f>
        <v>1</v>
      </c>
      <c r="AR8" s="18">
        <f>LAT_FEC!$B135*$D$10/SUM($D$9:$D$13)</f>
        <v>14.01012461132861</v>
      </c>
      <c r="AS8" s="18">
        <f t="shared" si="19"/>
        <v>14.01012461132861</v>
      </c>
      <c r="AT8" s="18">
        <f t="shared" si="20"/>
        <v>14.01012461132861</v>
      </c>
      <c r="AU8" s="21">
        <f t="shared" si="21"/>
        <v>1</v>
      </c>
      <c r="AV8" s="18">
        <f t="shared" ref="AV8:AV34" si="83">AV$7+($L$11-$F$11)*1/(1+EXP(-$K$5*($M7-($M$7+($M$34-$M$7)/2))))</f>
        <v>0.67504849441883241</v>
      </c>
      <c r="AW8" s="18">
        <f>LAT_FEC!$B135*$D$11/SUM($D$9:$D$13)</f>
        <v>3133.435002595661</v>
      </c>
      <c r="AX8" s="18">
        <f t="shared" si="22"/>
        <v>1419.3870977025269</v>
      </c>
      <c r="AY8" s="18">
        <f t="shared" si="23"/>
        <v>3127.5309503823519</v>
      </c>
      <c r="AZ8" s="21">
        <f t="shared" si="24"/>
        <v>0.45383630736859754</v>
      </c>
      <c r="BA8" s="18">
        <f t="shared" ref="BA8:BA34" si="84">BA$7+($L$12-$F$12)*1/(1+EXP(-$K$5*($M7-($M$7+($M$34-$M$7)/2))))</f>
        <v>0.19657720963887695</v>
      </c>
      <c r="BB8" s="18">
        <f>LAT_FEC!$B135*$D$12/SUM($D$9:$D$13)</f>
        <v>1056.9775067639573</v>
      </c>
      <c r="BC8" s="18">
        <f t="shared" si="25"/>
        <v>207.77768893071593</v>
      </c>
      <c r="BD8" s="18">
        <f t="shared" si="26"/>
        <v>1056.9775067639573</v>
      </c>
      <c r="BE8" s="21">
        <f t="shared" si="27"/>
        <v>0.19657720963887695</v>
      </c>
      <c r="BF8" s="18">
        <f t="shared" ref="BF8:BF34" si="85">BF$7+($L$13-$F$13)*1/(1+EXP(-$K$5*($M7-($M$7+($M$34-$M$7)/2))))</f>
        <v>1</v>
      </c>
      <c r="BG8" s="18">
        <f>LAT_FEC!$B135*$D$13/SUM($D$9:$D$13)</f>
        <v>2437.3982911704206</v>
      </c>
      <c r="BH8" s="18">
        <f t="shared" si="28"/>
        <v>2437.3982911704206</v>
      </c>
      <c r="BI8" s="18">
        <f t="shared" si="29"/>
        <v>2437.3982911704206</v>
      </c>
      <c r="BJ8" s="21">
        <f t="shared" si="30"/>
        <v>1</v>
      </c>
      <c r="BK8" s="21">
        <f t="shared" si="31"/>
        <v>0.25214884418664751</v>
      </c>
      <c r="BL8" s="18">
        <f t="shared" si="32"/>
        <v>129.80710934838862</v>
      </c>
      <c r="BM8" s="21">
        <f t="shared" si="33"/>
        <v>6.822258335438515E-3</v>
      </c>
      <c r="BO8" s="21">
        <f t="shared" ref="BO8:BO34" si="86">BO$7+($L$14-$F$14)*1/(1+EXP(-$K$5*($M7-($M$7+($M$34-$M$7)/2))))</f>
        <v>0.84503167535089529</v>
      </c>
      <c r="BP8" s="18">
        <f>LAT_FEC!$B82*$D$14/SUM($D$14:D$26)</f>
        <v>18.262365763512996</v>
      </c>
      <c r="BQ8" s="18">
        <f t="shared" si="34"/>
        <v>14.322892573801866</v>
      </c>
      <c r="BR8" s="18">
        <f t="shared" si="35"/>
        <v>18.262853756977933</v>
      </c>
      <c r="BS8" s="21">
        <f t="shared" si="36"/>
        <v>0.78426366242621459</v>
      </c>
      <c r="BT8" s="21">
        <f t="shared" ref="BT8:BT34" si="87">BT$7+($L$15-$F$15)*1/(1+EXP(-$K$5*($M7-($M$7+($M$34-$M$7)/2))))</f>
        <v>0.4871101172510327</v>
      </c>
      <c r="BU8" s="18">
        <f>LAT_FEC!$B82*$D$15/SUM($D$14:D$26)</f>
        <v>256.80318552100209</v>
      </c>
      <c r="BV8" s="18">
        <f t="shared" si="37"/>
        <v>90.586339718526602</v>
      </c>
      <c r="BW8" s="18">
        <f t="shared" si="38"/>
        <v>256.18275503426787</v>
      </c>
      <c r="BX8" s="21">
        <f t="shared" si="39"/>
        <v>0.35360045880687585</v>
      </c>
      <c r="BY8" s="21">
        <f t="shared" ref="BY8:BY34" si="88">BY$7+($L$16-$F$16)*1/(1+EXP(-$K$5*($M7-($M$7+($M$34-$M$7)/2))))</f>
        <v>0.60118313759527875</v>
      </c>
      <c r="BZ8" s="18">
        <f>LAT_FEC!$B82*$D$16/SUM($D$14:$D$26)</f>
        <v>23.717330099730173</v>
      </c>
      <c r="CA8" s="18">
        <f t="shared" si="40"/>
        <v>11.388477424246942</v>
      </c>
      <c r="CB8" s="18">
        <f t="shared" si="41"/>
        <v>23.64322197706565</v>
      </c>
      <c r="CC8" s="21">
        <f t="shared" si="42"/>
        <v>0.48168043404972338</v>
      </c>
      <c r="CD8" s="21">
        <f t="shared" ref="CD8:CD34" si="89">CD$7+($L$17-$F$17)*1/(1+EXP(-$K$5*($M7-($M$7+($M$34-$M$7)/2))))</f>
        <v>0.23625807442318009</v>
      </c>
      <c r="CE8" s="18">
        <f>LAT_FEC!$B82*$D$17/SUM($D$14:$D$26)</f>
        <v>1879.5147618606686</v>
      </c>
      <c r="CF8" s="18">
        <f t="shared" si="43"/>
        <v>315.26131609844464</v>
      </c>
      <c r="CG8" s="18">
        <f t="shared" si="44"/>
        <v>1877.1143645088559</v>
      </c>
      <c r="CH8" s="21">
        <f t="shared" si="45"/>
        <v>0.16794997793378044</v>
      </c>
      <c r="CI8" s="21">
        <f t="shared" ref="CI8:CI34" si="90">CI$7+($L$18-$F$18)*1/(1+EXP(-$K$5*($M7-($M$7+($M$34-$M$7)/2))))</f>
        <v>0.5748559421025865</v>
      </c>
      <c r="CJ8" s="18">
        <f>LAT_FEC!$B82*$D$18/SUM($D$14:$D$26)</f>
        <v>103.61625965113755</v>
      </c>
      <c r="CK8" s="18">
        <f t="shared" si="46"/>
        <v>43.577876392829687</v>
      </c>
      <c r="CL8" s="18">
        <f t="shared" si="47"/>
        <v>103.27160427193019</v>
      </c>
      <c r="CM8" s="21">
        <f t="shared" si="48"/>
        <v>0.42197346211532033</v>
      </c>
      <c r="CN8" s="21">
        <f t="shared" ref="CN8:CN34" si="91">CN$7+($L$19-$F$19)*1/(1+EXP(-$K$5*($M7-($M$7+($M$34-$M$7)/2))))</f>
        <v>0.59467984455388589</v>
      </c>
      <c r="CO8" s="18">
        <f>LAT_FEC!$B82*$D$19/SUM($D$16:Y$28)</f>
        <v>5.2757445784412589</v>
      </c>
      <c r="CP8" s="18">
        <f t="shared" si="49"/>
        <v>2.3254905315535352</v>
      </c>
      <c r="CQ8" s="18">
        <f t="shared" si="50"/>
        <v>5.255251395582305</v>
      </c>
      <c r="CR8" s="21">
        <f t="shared" si="51"/>
        <v>0.44250795185714625</v>
      </c>
      <c r="CS8" s="18">
        <f t="shared" ref="CS8:CS34" si="92">CS$7+($L$20-$F$20)*1/(1+EXP(-$K$5*($M7-($M$7+($M$34-$M$7)/2))))</f>
        <v>0.20756960154672405</v>
      </c>
      <c r="CT8" s="18">
        <f>LAT_FEC!$B82*$D$20/SUM($D$14:$D$26)</f>
        <v>172.20482686000042</v>
      </c>
      <c r="CU8" s="18">
        <f t="shared" si="52"/>
        <v>14.575435446334492</v>
      </c>
      <c r="CV8" s="18">
        <f t="shared" si="53"/>
        <v>170.58685584677764</v>
      </c>
      <c r="CW8" s="21">
        <f t="shared" si="54"/>
        <v>8.5442898715632903E-2</v>
      </c>
      <c r="CX8" s="21">
        <f t="shared" ref="CX8:CX34" si="93">CX$7+($L$21-$F$21)*1/(1+EXP(-$K$5*($M7-($M$7+($M$34-$M$7)/2))))</f>
        <v>0.56199071156156943</v>
      </c>
      <c r="CY8" s="18">
        <f>LAT_FEC!$B82*$D$21/SUM($D$14:$D$26)</f>
        <v>901.13118213725863</v>
      </c>
      <c r="CZ8" s="18">
        <f t="shared" si="55"/>
        <v>304.25566142398981</v>
      </c>
      <c r="DA8" s="18">
        <f t="shared" si="56"/>
        <v>897.08932852048611</v>
      </c>
      <c r="DB8" s="21">
        <f t="shared" si="57"/>
        <v>0.33915871223859034</v>
      </c>
      <c r="DC8" s="21">
        <f t="shared" ref="DC8:DC34" si="94">DC$7+($L$22-$F$22)*1/(1+EXP(-$K$5*($M7-($M$7+($M$34-$M$7)/2))))</f>
        <v>0.63642525020061169</v>
      </c>
      <c r="DD8" s="18">
        <f>LAT_FEC!$B82*$D$22/SUM($D$14:$D$26)</f>
        <v>66.35973829032541</v>
      </c>
      <c r="DE8" s="18">
        <f t="shared" si="58"/>
        <v>27.192010038401289</v>
      </c>
      <c r="DF8" s="18">
        <f t="shared" si="59"/>
        <v>66.027396610264489</v>
      </c>
      <c r="DG8" s="21">
        <f t="shared" si="60"/>
        <v>0.41182920173130183</v>
      </c>
      <c r="DH8" s="21">
        <f t="shared" ref="DH8:DH34" si="95">DH$7+($L$23-$F$23)*1/(1+EXP(-$K$5*($M7-($M$7+($M$34-$M$7)/2))))</f>
        <v>0.25245762958549584</v>
      </c>
      <c r="DI8" s="18">
        <f>LAT_FEC!$B82*$D$23/SUM($D$14:$D$26)</f>
        <v>7180.8593584567325</v>
      </c>
      <c r="DJ8" s="18">
        <f t="shared" si="61"/>
        <v>851.33833223022987</v>
      </c>
      <c r="DK8" s="18">
        <f t="shared" si="62"/>
        <v>7153.4995695933612</v>
      </c>
      <c r="DL8" s="21">
        <f t="shared" si="63"/>
        <v>0.11901004871083315</v>
      </c>
      <c r="DM8" s="21">
        <f t="shared" ref="DM8:DM34" si="96">DM$7+($L$24-$F$24)*1/(1+EXP(-$K$5*($M7-($M$7+($M$34-$M$7)/2))))</f>
        <v>0.35367254357235772</v>
      </c>
      <c r="DN8" s="18">
        <f>LAT_FEC!$B82*$D$24/SUM($D$14:$D$26)</f>
        <v>387.55395316828134</v>
      </c>
      <c r="DO8" s="18">
        <f t="shared" si="64"/>
        <v>63.032250734378252</v>
      </c>
      <c r="DP8" s="18">
        <f t="shared" si="65"/>
        <v>385.99434430992659</v>
      </c>
      <c r="DQ8" s="21">
        <f t="shared" si="66"/>
        <v>0.16329837901398819</v>
      </c>
      <c r="DR8" s="21">
        <f t="shared" ref="DR8:DR34" si="97">DR$7+($L$25-$F$25)*1/(1+EXP(-$K$5*($M7-($M$7+($M$34-$M$7)/2))))</f>
        <v>0.52163256496118438</v>
      </c>
      <c r="DS8" s="18">
        <f>LAT_FEC!$B82*$D$25/SUM($D$14:$D$26)</f>
        <v>71.314970040933446</v>
      </c>
      <c r="DT8" s="18">
        <f t="shared" si="67"/>
        <v>21.523795446891615</v>
      </c>
      <c r="DU8" s="18">
        <f t="shared" si="68"/>
        <v>70.870229660579199</v>
      </c>
      <c r="DV8" s="21">
        <f t="shared" si="69"/>
        <v>0.30370714967308754</v>
      </c>
      <c r="DW8" s="21">
        <f t="shared" ref="DW8:DW34" si="98">DW$7+($L$26-$F$26)*1/(1+EXP(-$K$5*($M7-($M$7+($M$34-$M$7)/2))))</f>
        <v>0.52747856103884927</v>
      </c>
      <c r="DX8" s="18">
        <f>LAT_FEC!$B82*$D$26/SUM($D$14:$D$26)</f>
        <v>334.17646874341301</v>
      </c>
      <c r="DY8" s="18">
        <f t="shared" si="70"/>
        <v>116.13132492218006</v>
      </c>
      <c r="DZ8" s="18">
        <f t="shared" si="71"/>
        <v>333.03451960126392</v>
      </c>
      <c r="EA8" s="21">
        <f t="shared" si="72"/>
        <v>0.34870656970100861</v>
      </c>
      <c r="EB8" s="21">
        <f t="shared" si="73"/>
        <v>0.16508572209034542</v>
      </c>
      <c r="EC8" s="18">
        <f t="shared" si="74"/>
        <v>39.957850084098027</v>
      </c>
      <c r="ED8" s="21">
        <f t="shared" si="75"/>
        <v>3.5048316454646192E-3</v>
      </c>
    </row>
    <row r="9" spans="1:136" ht="19.5" customHeight="1" thickBot="1" x14ac:dyDescent="0.4">
      <c r="A9" s="77" t="s">
        <v>127</v>
      </c>
      <c r="B9" s="23" t="s">
        <v>159</v>
      </c>
      <c r="C9" s="18">
        <f t="shared" ref="C9:D13" si="99">C74</f>
        <v>645.69263985186171</v>
      </c>
      <c r="D9" s="18">
        <f t="shared" si="99"/>
        <v>12136.574795074721</v>
      </c>
      <c r="E9" s="21">
        <f t="shared" si="0"/>
        <v>5.3202213207131345E-2</v>
      </c>
      <c r="F9" s="21">
        <f>IF(D9=0,0,C9*J9/((D9-C27)+(C9*J9)))</f>
        <v>0.11739177712889021</v>
      </c>
      <c r="G9" s="55">
        <v>0.59</v>
      </c>
      <c r="H9" s="23" t="s">
        <v>200</v>
      </c>
      <c r="I9" s="23" t="s">
        <v>177</v>
      </c>
      <c r="J9" s="56">
        <f>'Efficiency Assumptions'!B7</f>
        <v>2.5</v>
      </c>
      <c r="K9" s="84"/>
      <c r="L9" s="58">
        <f t="shared" ref="L9:L26" si="100">IF(J9=1, G9, G9*J9/(1+G9*(J9-1)))</f>
        <v>0.7824933687002652</v>
      </c>
      <c r="M9" s="47">
        <f t="shared" si="76"/>
        <v>2026</v>
      </c>
      <c r="N9" s="21">
        <f t="shared" si="77"/>
        <v>0.48538182389366602</v>
      </c>
      <c r="O9" s="18">
        <f>LAT_FEC!B189*D$5/SUM(D$5:D$8)</f>
        <v>315.37849468381268</v>
      </c>
      <c r="P9" s="18">
        <f t="shared" si="1"/>
        <v>107.26276142743605</v>
      </c>
      <c r="Q9" s="18">
        <f t="shared" si="2"/>
        <v>335.64798479168161</v>
      </c>
      <c r="R9" s="21">
        <f t="shared" si="3"/>
        <v>0.31956921026654811</v>
      </c>
      <c r="S9" s="21">
        <f t="shared" si="78"/>
        <v>3.0106167489100187E-2</v>
      </c>
      <c r="T9" s="18">
        <f>LAT_FEC!B189*D$6/SUM(D$5:D$8)</f>
        <v>13724.196757773339</v>
      </c>
      <c r="U9" s="18">
        <f t="shared" si="4"/>
        <v>166.47178333718369</v>
      </c>
      <c r="V9" s="18">
        <f t="shared" si="5"/>
        <v>13571.241491245066</v>
      </c>
      <c r="W9" s="21">
        <f t="shared" si="6"/>
        <v>1.2266511022191756E-2</v>
      </c>
      <c r="X9" s="21">
        <f t="shared" si="79"/>
        <v>0</v>
      </c>
      <c r="Y9" s="18">
        <f>LAT_FEC!$B189*$D$7/SUM($D$5:$D$8)</f>
        <v>10.753558948383828</v>
      </c>
      <c r="Z9" s="18">
        <f t="shared" si="7"/>
        <v>0</v>
      </c>
      <c r="AA9" s="18">
        <f t="shared" si="8"/>
        <v>10.753558948383828</v>
      </c>
      <c r="AB9" s="21">
        <f t="shared" si="9"/>
        <v>0</v>
      </c>
      <c r="AC9" s="21">
        <f t="shared" si="80"/>
        <v>0</v>
      </c>
      <c r="AD9" s="18">
        <f>LAT_FEC!$B189*$D$8/SUM($D$5:$D$8)</f>
        <v>11.446852519593492</v>
      </c>
      <c r="AE9" s="18">
        <f t="shared" si="10"/>
        <v>0</v>
      </c>
      <c r="AF9" s="18">
        <f t="shared" si="11"/>
        <v>11.446852519593492</v>
      </c>
      <c r="AG9" s="21">
        <f t="shared" si="12"/>
        <v>0</v>
      </c>
      <c r="AH9" s="21">
        <f t="shared" si="13"/>
        <v>1.9652005046659721E-2</v>
      </c>
      <c r="AI9" s="18">
        <f t="shared" si="14"/>
        <v>132.68577642040509</v>
      </c>
      <c r="AJ9" s="21">
        <f t="shared" si="15"/>
        <v>9.4359190184497566E-3</v>
      </c>
      <c r="AL9" s="21">
        <f t="shared" si="81"/>
        <v>0.13267406242617247</v>
      </c>
      <c r="AM9" s="18">
        <f>LAT_FEC!B136*$D$9/SUM($D$9:$D$13)</f>
        <v>11873.424198018918</v>
      </c>
      <c r="AN9" s="18">
        <f t="shared" si="16"/>
        <v>677.86353211571361</v>
      </c>
      <c r="AO9" s="18">
        <f t="shared" si="17"/>
        <v>11724.945668209966</v>
      </c>
      <c r="AP9" s="21">
        <f t="shared" si="18"/>
        <v>5.7813788762673408E-2</v>
      </c>
      <c r="AQ9" s="21">
        <f t="shared" si="82"/>
        <v>1</v>
      </c>
      <c r="AR9" s="18">
        <f>LAT_FEC!$B136*$D$10/SUM($D$9:$D$13)</f>
        <v>13.431227079718933</v>
      </c>
      <c r="AS9" s="18">
        <f t="shared" si="19"/>
        <v>13.431227079718933</v>
      </c>
      <c r="AT9" s="18">
        <f t="shared" si="20"/>
        <v>13.431227079718933</v>
      </c>
      <c r="AU9" s="21">
        <f t="shared" si="21"/>
        <v>1</v>
      </c>
      <c r="AV9" s="18">
        <f t="shared" si="83"/>
        <v>0.67568836255664322</v>
      </c>
      <c r="AW9" s="18">
        <f>LAT_FEC!$B136*$D$11/SUM($D$9:$D$13)</f>
        <v>3003.9616510884771</v>
      </c>
      <c r="AX9" s="18">
        <f t="shared" si="22"/>
        <v>1362.0279284578421</v>
      </c>
      <c r="AY9" s="18">
        <f t="shared" si="23"/>
        <v>2996.3668197270999</v>
      </c>
      <c r="AZ9" s="21">
        <f t="shared" si="24"/>
        <v>0.45455980872925683</v>
      </c>
      <c r="BA9" s="18">
        <f t="shared" si="84"/>
        <v>0.20136184592963727</v>
      </c>
      <c r="BB9" s="18">
        <f>LAT_FEC!$B136*$D$12/SUM($D$9:$D$13)</f>
        <v>1013.3032578470105</v>
      </c>
      <c r="BC9" s="18">
        <f t="shared" si="25"/>
        <v>204.04061448658925</v>
      </c>
      <c r="BD9" s="18">
        <f t="shared" si="26"/>
        <v>1013.3032578470105</v>
      </c>
      <c r="BE9" s="21">
        <f t="shared" si="27"/>
        <v>0.20136184592963727</v>
      </c>
      <c r="BF9" s="18">
        <f t="shared" si="85"/>
        <v>1</v>
      </c>
      <c r="BG9" s="18">
        <f>LAT_FEC!$B136*$D$13/SUM($D$9:$D$13)</f>
        <v>2336.6851359735524</v>
      </c>
      <c r="BH9" s="18">
        <f t="shared" si="28"/>
        <v>2336.6851359735524</v>
      </c>
      <c r="BI9" s="18">
        <f t="shared" si="29"/>
        <v>2336.6851359735524</v>
      </c>
      <c r="BJ9" s="21">
        <f t="shared" si="30"/>
        <v>1</v>
      </c>
      <c r="BK9" s="21">
        <f t="shared" si="31"/>
        <v>0.25402911198604222</v>
      </c>
      <c r="BL9" s="18">
        <f t="shared" si="32"/>
        <v>156.07336117032901</v>
      </c>
      <c r="BM9" s="21">
        <f t="shared" si="33"/>
        <v>8.5562757317351797E-3</v>
      </c>
      <c r="BO9" s="21">
        <f t="shared" si="86"/>
        <v>0.84501199269543603</v>
      </c>
      <c r="BP9" s="18">
        <f>LAT_FEC!$B83*$D$14/SUM($D$14:D$26)</f>
        <v>18.972001388677558</v>
      </c>
      <c r="BQ9" s="18">
        <f t="shared" si="34"/>
        <v>14.879102304419293</v>
      </c>
      <c r="BR9" s="18">
        <f t="shared" si="35"/>
        <v>18.972681632128072</v>
      </c>
      <c r="BS9" s="21">
        <f t="shared" si="36"/>
        <v>0.78423823226039013</v>
      </c>
      <c r="BT9" s="21">
        <f t="shared" si="87"/>
        <v>0.48865921659588962</v>
      </c>
      <c r="BU9" s="18">
        <f>LAT_FEC!$B83*$D$15/SUM($D$14:D$26)</f>
        <v>266.78199612316104</v>
      </c>
      <c r="BV9" s="18">
        <f t="shared" si="37"/>
        <v>94.40560227039208</v>
      </c>
      <c r="BW9" s="18">
        <f t="shared" si="38"/>
        <v>265.91714073999265</v>
      </c>
      <c r="BX9" s="21">
        <f t="shared" si="39"/>
        <v>0.35501886793638321</v>
      </c>
      <c r="BY9" s="21">
        <f t="shared" si="88"/>
        <v>0.60333274504884427</v>
      </c>
      <c r="BZ9" s="18">
        <f>LAT_FEC!$B83*$D$16/SUM($D$14:$D$26)</f>
        <v>24.638933718368829</v>
      </c>
      <c r="CA9" s="18">
        <f t="shared" si="40"/>
        <v>11.873312059963931</v>
      </c>
      <c r="CB9" s="18">
        <f t="shared" si="41"/>
        <v>24.535629947530161</v>
      </c>
      <c r="CC9" s="21">
        <f t="shared" si="42"/>
        <v>0.48392122335375942</v>
      </c>
      <c r="CD9" s="21">
        <f t="shared" si="89"/>
        <v>0.23741272598985036</v>
      </c>
      <c r="CE9" s="18">
        <f>LAT_FEC!$B83*$D$17/SUM($D$14:$D$26)</f>
        <v>1952.548598238199</v>
      </c>
      <c r="CF9" s="18">
        <f t="shared" si="43"/>
        <v>329.11231239394391</v>
      </c>
      <c r="CG9" s="18">
        <f t="shared" si="44"/>
        <v>1949.2025399514996</v>
      </c>
      <c r="CH9" s="21">
        <f t="shared" si="45"/>
        <v>0.16884459446791658</v>
      </c>
      <c r="CI9" s="21">
        <f t="shared" si="90"/>
        <v>0.57667958160714949</v>
      </c>
      <c r="CJ9" s="18">
        <f>LAT_FEC!$B83*$D$18/SUM($D$14:$D$26)</f>
        <v>107.64256107051095</v>
      </c>
      <c r="CK9" s="18">
        <f t="shared" si="46"/>
        <v>45.414833212632097</v>
      </c>
      <c r="CL9" s="18">
        <f t="shared" si="47"/>
        <v>107.16212520151552</v>
      </c>
      <c r="CM9" s="21">
        <f t="shared" si="48"/>
        <v>0.42379556328535584</v>
      </c>
      <c r="CN9" s="21">
        <f t="shared" si="91"/>
        <v>0.59679119503302369</v>
      </c>
      <c r="CO9" s="18">
        <f>LAT_FEC!$B83*$D$19/SUM($D$16:Y$28)</f>
        <v>5.4807484837737581</v>
      </c>
      <c r="CP9" s="18">
        <f t="shared" si="49"/>
        <v>2.4244312564258101</v>
      </c>
      <c r="CQ9" s="18">
        <f t="shared" si="50"/>
        <v>5.4521818032305251</v>
      </c>
      <c r="CR9" s="21">
        <f t="shared" si="51"/>
        <v>0.44467175599120462</v>
      </c>
      <c r="CS9" s="18">
        <f t="shared" si="92"/>
        <v>0.21193613562001981</v>
      </c>
      <c r="CT9" s="18">
        <f>LAT_FEC!$B83*$D$20/SUM($D$14:$D$26)</f>
        <v>178.89633011580011</v>
      </c>
      <c r="CU9" s="18">
        <f t="shared" si="52"/>
        <v>15.460335316755716</v>
      </c>
      <c r="CV9" s="18">
        <f t="shared" si="53"/>
        <v>176.64094297652255</v>
      </c>
      <c r="CW9" s="21">
        <f t="shared" si="54"/>
        <v>8.7524075994151351E-2</v>
      </c>
      <c r="CX9" s="21">
        <f t="shared" si="93"/>
        <v>0.56369199716109553</v>
      </c>
      <c r="CY9" s="18">
        <f>LAT_FEC!$B83*$D$21/SUM($D$14:$D$26)</f>
        <v>936.14717065003299</v>
      </c>
      <c r="CZ9" s="18">
        <f t="shared" si="55"/>
        <v>317.03521935314075</v>
      </c>
      <c r="DA9" s="18">
        <f t="shared" si="56"/>
        <v>930.51298771868778</v>
      </c>
      <c r="DB9" s="21">
        <f t="shared" si="57"/>
        <v>0.34071014971043767</v>
      </c>
      <c r="DC9" s="21">
        <f t="shared" si="94"/>
        <v>0.63819779441358904</v>
      </c>
      <c r="DD9" s="18">
        <f>LAT_FEC!$B83*$D$22/SUM($D$14:$D$26)</f>
        <v>68.938332705595357</v>
      </c>
      <c r="DE9" s="18">
        <f t="shared" si="58"/>
        <v>28.327309000585899</v>
      </c>
      <c r="DF9" s="18">
        <f t="shared" si="59"/>
        <v>68.475061642684125</v>
      </c>
      <c r="DG9" s="21">
        <f t="shared" si="60"/>
        <v>0.41368796640743716</v>
      </c>
      <c r="DH9" s="21">
        <f t="shared" si="95"/>
        <v>0.25430649470457795</v>
      </c>
      <c r="DI9" s="18">
        <f>LAT_FEC!$B83*$D$23/SUM($D$14:$D$26)</f>
        <v>7459.8918609290185</v>
      </c>
      <c r="DJ9" s="18">
        <f t="shared" si="61"/>
        <v>890.89649627829328</v>
      </c>
      <c r="DK9" s="18">
        <f t="shared" si="62"/>
        <v>7421.7534051523098</v>
      </c>
      <c r="DL9" s="21">
        <f t="shared" si="63"/>
        <v>0.12003854717940608</v>
      </c>
      <c r="DM9" s="21">
        <f t="shared" si="96"/>
        <v>0.35533090095084291</v>
      </c>
      <c r="DN9" s="18">
        <f>LAT_FEC!$B83*$D$24/SUM($D$14:$D$26)</f>
        <v>402.61345287401213</v>
      </c>
      <c r="DO9" s="18">
        <f t="shared" si="64"/>
        <v>65.78858678517615</v>
      </c>
      <c r="DP9" s="18">
        <f t="shared" si="65"/>
        <v>400.43942025371803</v>
      </c>
      <c r="DQ9" s="21">
        <f t="shared" si="66"/>
        <v>0.16429098499716277</v>
      </c>
      <c r="DR9" s="21">
        <f t="shared" si="97"/>
        <v>0.52408873584532389</v>
      </c>
      <c r="DS9" s="18">
        <f>LAT_FEC!$B83*$D$25/SUM($D$14:$D$26)</f>
        <v>74.086113933456986</v>
      </c>
      <c r="DT9" s="18">
        <f t="shared" si="67"/>
        <v>22.465448671729135</v>
      </c>
      <c r="DU9" s="18">
        <f t="shared" si="68"/>
        <v>73.466163559827976</v>
      </c>
      <c r="DV9" s="21">
        <f t="shared" si="69"/>
        <v>0.30579313772705924</v>
      </c>
      <c r="DW9" s="21">
        <f t="shared" si="98"/>
        <v>0.52911267296247289</v>
      </c>
      <c r="DX9" s="18">
        <f>LAT_FEC!$B83*$D$26/SUM($D$14:$D$26)</f>
        <v>347.16183604920951</v>
      </c>
      <c r="DY9" s="18">
        <f t="shared" si="70"/>
        <v>121.01768552781391</v>
      </c>
      <c r="DZ9" s="18">
        <f t="shared" si="71"/>
        <v>345.57000443550089</v>
      </c>
      <c r="EA9" s="21">
        <f t="shared" si="72"/>
        <v>0.35019730872041394</v>
      </c>
      <c r="EB9" s="21">
        <f t="shared" si="73"/>
        <v>0.16619307836408981</v>
      </c>
      <c r="EC9" s="18">
        <f t="shared" si="74"/>
        <v>55.699651264667409</v>
      </c>
      <c r="ED9" s="21">
        <f t="shared" si="75"/>
        <v>4.7028531015665641E-3</v>
      </c>
    </row>
    <row r="10" spans="1:136" ht="19.5" customHeight="1" thickBot="1" x14ac:dyDescent="0.4">
      <c r="A10" s="77"/>
      <c r="B10" s="23" t="s">
        <v>160</v>
      </c>
      <c r="C10" s="18">
        <f t="shared" si="99"/>
        <v>13.728903248469798</v>
      </c>
      <c r="D10" s="18">
        <f t="shared" si="99"/>
        <v>13.728903248469798</v>
      </c>
      <c r="E10" s="21">
        <f t="shared" si="0"/>
        <v>1</v>
      </c>
      <c r="F10" s="44">
        <v>1</v>
      </c>
      <c r="G10" s="55">
        <v>1</v>
      </c>
      <c r="H10" s="23" t="s">
        <v>200</v>
      </c>
      <c r="I10" s="23" t="s">
        <v>174</v>
      </c>
      <c r="J10" s="40">
        <v>1</v>
      </c>
      <c r="K10" s="84"/>
      <c r="L10" s="58">
        <f t="shared" si="100"/>
        <v>1</v>
      </c>
      <c r="M10" s="47">
        <f t="shared" si="76"/>
        <v>2027</v>
      </c>
      <c r="N10" s="21">
        <f t="shared" si="77"/>
        <v>0.48868829095412719</v>
      </c>
      <c r="O10" s="18">
        <f>LAT_FEC!B190*D$5/SUM(D$5:D$8)</f>
        <v>316.80058433895977</v>
      </c>
      <c r="P10" s="18">
        <f t="shared" si="1"/>
        <v>108.48040443055018</v>
      </c>
      <c r="Q10" s="18">
        <f t="shared" si="2"/>
        <v>336.42143968020167</v>
      </c>
      <c r="R10" s="21">
        <f t="shared" si="3"/>
        <v>0.32245389750923842</v>
      </c>
      <c r="S10" s="21">
        <f t="shared" si="78"/>
        <v>3.6245861173432641E-2</v>
      </c>
      <c r="T10" s="18">
        <f>LAT_FEC!B190*D$6/SUM(D$5:D$8)</f>
        <v>13786.081250734724</v>
      </c>
      <c r="U10" s="18">
        <f t="shared" si="4"/>
        <v>201.32489409338979</v>
      </c>
      <c r="V10" s="18">
        <f t="shared" si="5"/>
        <v>13581.300256946904</v>
      </c>
      <c r="W10" s="21">
        <f t="shared" si="6"/>
        <v>1.4823683320778588E-2</v>
      </c>
      <c r="X10" s="21">
        <f t="shared" si="79"/>
        <v>0</v>
      </c>
      <c r="Y10" s="18">
        <f>LAT_FEC!$B190*$D$7/SUM($D$5:$D$8)</f>
        <v>10.802048383124276</v>
      </c>
      <c r="Z10" s="18">
        <f t="shared" si="7"/>
        <v>0</v>
      </c>
      <c r="AA10" s="18">
        <f t="shared" si="8"/>
        <v>10.802048383124276</v>
      </c>
      <c r="AB10" s="21">
        <f t="shared" si="9"/>
        <v>0</v>
      </c>
      <c r="AC10" s="21">
        <f t="shared" si="80"/>
        <v>0</v>
      </c>
      <c r="AD10" s="18">
        <f>LAT_FEC!$B190*$D$8/SUM($D$5:$D$8)</f>
        <v>11.498468120614191</v>
      </c>
      <c r="AE10" s="18">
        <f t="shared" si="10"/>
        <v>0</v>
      </c>
      <c r="AF10" s="18">
        <f t="shared" si="11"/>
        <v>11.498468120614191</v>
      </c>
      <c r="AG10" s="21">
        <f t="shared" si="12"/>
        <v>0</v>
      </c>
      <c r="AH10" s="21">
        <f t="shared" si="13"/>
        <v>2.2224161036997345E-2</v>
      </c>
      <c r="AI10" s="18">
        <f t="shared" si="14"/>
        <v>185.16013844657755</v>
      </c>
      <c r="AJ10" s="21">
        <f t="shared" si="15"/>
        <v>1.3108513139010902E-2</v>
      </c>
      <c r="AL10" s="21">
        <f t="shared" si="81"/>
        <v>0.13785619445816516</v>
      </c>
      <c r="AM10" s="18">
        <f>LAT_FEC!B137*$D$9/SUM($D$9:$D$13)</f>
        <v>11645.014118651881</v>
      </c>
      <c r="AN10" s="18">
        <f t="shared" si="16"/>
        <v>690.7908302349548</v>
      </c>
      <c r="AO10" s="18">
        <f t="shared" si="17"/>
        <v>11460.624507881925</v>
      </c>
      <c r="AP10" s="21">
        <f t="shared" si="18"/>
        <v>6.0275147288864635E-2</v>
      </c>
      <c r="AQ10" s="21">
        <f t="shared" si="82"/>
        <v>1</v>
      </c>
      <c r="AR10" s="18">
        <f>LAT_FEC!$B137*$D$10/SUM($D$9:$D$13)</f>
        <v>13.172849412745055</v>
      </c>
      <c r="AS10" s="18">
        <f t="shared" si="19"/>
        <v>13.172849412745055</v>
      </c>
      <c r="AT10" s="18">
        <f t="shared" si="20"/>
        <v>13.172849412745055</v>
      </c>
      <c r="AU10" s="21">
        <f t="shared" si="21"/>
        <v>1</v>
      </c>
      <c r="AV10" s="18">
        <f t="shared" si="83"/>
        <v>0.6765401033993208</v>
      </c>
      <c r="AW10" s="18">
        <f>LAT_FEC!$B137*$D$11/SUM($D$9:$D$13)</f>
        <v>2946.1741832360999</v>
      </c>
      <c r="AX10" s="18">
        <f t="shared" si="22"/>
        <v>1337.5103601941603</v>
      </c>
      <c r="AY10" s="18">
        <f t="shared" si="23"/>
        <v>2936.1996346250371</v>
      </c>
      <c r="AZ10" s="21">
        <f t="shared" si="24"/>
        <v>0.45552432621461209</v>
      </c>
      <c r="BA10" s="18">
        <f t="shared" si="84"/>
        <v>0.20773076775178123</v>
      </c>
      <c r="BB10" s="18">
        <f>LAT_FEC!$B137*$D$12/SUM($D$9:$D$13)</f>
        <v>993.81025619157151</v>
      </c>
      <c r="BC10" s="18">
        <f t="shared" si="25"/>
        <v>206.44496751826955</v>
      </c>
      <c r="BD10" s="18">
        <f t="shared" si="26"/>
        <v>993.8102561915714</v>
      </c>
      <c r="BE10" s="21">
        <f t="shared" si="27"/>
        <v>0.20773076775178126</v>
      </c>
      <c r="BF10" s="18">
        <f t="shared" si="85"/>
        <v>1</v>
      </c>
      <c r="BG10" s="18">
        <f>LAT_FEC!$B137*$D$13/SUM($D$9:$D$13)</f>
        <v>2291.7341236571096</v>
      </c>
      <c r="BH10" s="18">
        <f t="shared" si="28"/>
        <v>2291.7341236571096</v>
      </c>
      <c r="BI10" s="18">
        <f t="shared" si="29"/>
        <v>2291.7341236571096</v>
      </c>
      <c r="BJ10" s="21">
        <f t="shared" si="30"/>
        <v>1</v>
      </c>
      <c r="BK10" s="21">
        <f t="shared" si="31"/>
        <v>0.25654220097836844</v>
      </c>
      <c r="BL10" s="18">
        <f t="shared" si="32"/>
        <v>194.36415938102073</v>
      </c>
      <c r="BM10" s="21">
        <f t="shared" si="33"/>
        <v>1.0864459795083839E-2</v>
      </c>
      <c r="BO10" s="21">
        <f t="shared" si="86"/>
        <v>0.84498579273241803</v>
      </c>
      <c r="BP10" s="18">
        <f>LAT_FEC!$B84*$D$14/SUM($D$14:D$26)</f>
        <v>19.14399138644804</v>
      </c>
      <c r="BQ10" s="18">
        <f t="shared" si="34"/>
        <v>15.013522757204237</v>
      </c>
      <c r="BR10" s="18">
        <f t="shared" si="35"/>
        <v>19.144910554227479</v>
      </c>
      <c r="BS10" s="21">
        <f t="shared" si="36"/>
        <v>0.78420438239597989</v>
      </c>
      <c r="BT10" s="21">
        <f t="shared" si="87"/>
        <v>0.49072125266771832</v>
      </c>
      <c r="BU10" s="18">
        <f>LAT_FEC!$B84*$D$15/SUM($D$14:D$26)</f>
        <v>269.20049873542683</v>
      </c>
      <c r="BV10" s="18">
        <f t="shared" si="37"/>
        <v>95.66341548724094</v>
      </c>
      <c r="BW10" s="18">
        <f t="shared" si="38"/>
        <v>268.0318771169724</v>
      </c>
      <c r="BX10" s="21">
        <f t="shared" si="39"/>
        <v>0.3569105903231512</v>
      </c>
      <c r="BY10" s="21">
        <f t="shared" si="88"/>
        <v>0.60619412906804249</v>
      </c>
      <c r="BZ10" s="18">
        <f>LAT_FEC!$B84*$D$16/SUM($D$14:$D$26)</f>
        <v>24.862297087813786</v>
      </c>
      <c r="CA10" s="18">
        <f t="shared" si="40"/>
        <v>12.037770354049973</v>
      </c>
      <c r="CB10" s="18">
        <f t="shared" si="41"/>
        <v>24.722709565761633</v>
      </c>
      <c r="CC10" s="21">
        <f t="shared" si="42"/>
        <v>0.48691144965441113</v>
      </c>
      <c r="CD10" s="21">
        <f t="shared" si="89"/>
        <v>0.23894970500205662</v>
      </c>
      <c r="CE10" s="18">
        <f>LAT_FEC!$B84*$D$17/SUM($D$14:$D$26)</f>
        <v>1970.2493574874663</v>
      </c>
      <c r="CF10" s="18">
        <f t="shared" si="43"/>
        <v>334.24581357326639</v>
      </c>
      <c r="CG10" s="18">
        <f t="shared" si="44"/>
        <v>1965.7280512361012</v>
      </c>
      <c r="CH10" s="21">
        <f t="shared" si="45"/>
        <v>0.17003665047313329</v>
      </c>
      <c r="CI10" s="21">
        <f t="shared" si="90"/>
        <v>0.57910706339061646</v>
      </c>
      <c r="CJ10" s="18">
        <f>LAT_FEC!$B84*$D$18/SUM($D$14:$D$26)</f>
        <v>108.61839084509525</v>
      </c>
      <c r="CK10" s="18">
        <f t="shared" si="46"/>
        <v>46.019442526435441</v>
      </c>
      <c r="CL10" s="18">
        <f t="shared" si="47"/>
        <v>107.96920977538603</v>
      </c>
      <c r="CM10" s="21">
        <f t="shared" si="48"/>
        <v>0.42622746449818499</v>
      </c>
      <c r="CN10" s="21">
        <f t="shared" si="91"/>
        <v>0.59960165445430569</v>
      </c>
      <c r="CO10" s="18">
        <f>LAT_FEC!$B84*$D$19/SUM($D$16:Y$28)</f>
        <v>5.5304340124743518</v>
      </c>
      <c r="CP10" s="18">
        <f t="shared" si="49"/>
        <v>2.4579306905478844</v>
      </c>
      <c r="CQ10" s="18">
        <f t="shared" si="50"/>
        <v>5.4918337550208971</v>
      </c>
      <c r="CR10" s="21">
        <f t="shared" si="51"/>
        <v>0.44756101517106678</v>
      </c>
      <c r="CS10" s="18">
        <f t="shared" si="92"/>
        <v>0.21774851350133406</v>
      </c>
      <c r="CT10" s="18">
        <f>LAT_FEC!$B84*$D$20/SUM($D$14:$D$26)</f>
        <v>180.5181083766918</v>
      </c>
      <c r="CU10" s="18">
        <f t="shared" si="52"/>
        <v>16.028336043174374</v>
      </c>
      <c r="CV10" s="18">
        <f t="shared" si="53"/>
        <v>177.47055358286241</v>
      </c>
      <c r="CW10" s="21">
        <f t="shared" si="54"/>
        <v>9.0315467662586718E-2</v>
      </c>
      <c r="CX10" s="21">
        <f t="shared" si="93"/>
        <v>0.56595661129727248</v>
      </c>
      <c r="CY10" s="18">
        <f>LAT_FEC!$B84*$D$21/SUM($D$14:$D$26)</f>
        <v>944.63377923151006</v>
      </c>
      <c r="CZ10" s="18">
        <f t="shared" si="55"/>
        <v>321.19451585497302</v>
      </c>
      <c r="DA10" s="18">
        <f t="shared" si="56"/>
        <v>937.02068217038504</v>
      </c>
      <c r="DB10" s="21">
        <f t="shared" si="57"/>
        <v>0.34278273891564753</v>
      </c>
      <c r="DC10" s="21">
        <f t="shared" si="94"/>
        <v>0.64055726226709075</v>
      </c>
      <c r="DD10" s="18">
        <f>LAT_FEC!$B84*$D$22/SUM($D$14:$D$26)</f>
        <v>69.563290686855694</v>
      </c>
      <c r="DE10" s="18">
        <f t="shared" si="58"/>
        <v>28.689786922170569</v>
      </c>
      <c r="DF10" s="18">
        <f t="shared" si="59"/>
        <v>68.93730327918172</v>
      </c>
      <c r="DG10" s="21">
        <f t="shared" si="60"/>
        <v>0.41617216742556506</v>
      </c>
      <c r="DH10" s="21">
        <f t="shared" si="95"/>
        <v>0.25676755479097624</v>
      </c>
      <c r="DI10" s="18">
        <f>LAT_FEC!$B84*$D$23/SUM($D$14:$D$26)</f>
        <v>7527.5192428927867</v>
      </c>
      <c r="DJ10" s="18">
        <f t="shared" si="61"/>
        <v>907.67272836219752</v>
      </c>
      <c r="DK10" s="18">
        <f t="shared" si="62"/>
        <v>7475.9852815131917</v>
      </c>
      <c r="DL10" s="21">
        <f t="shared" si="63"/>
        <v>0.12141178643124324</v>
      </c>
      <c r="DM10" s="21">
        <f t="shared" si="96"/>
        <v>0.35753837250247245</v>
      </c>
      <c r="DN10" s="18">
        <f>LAT_FEC!$B84*$D$24/SUM($D$14:$D$26)</f>
        <v>406.26333068308145</v>
      </c>
      <c r="DO10" s="18">
        <f t="shared" si="64"/>
        <v>66.797403564914831</v>
      </c>
      <c r="DP10" s="18">
        <f t="shared" si="65"/>
        <v>403.32570484557618</v>
      </c>
      <c r="DQ10" s="21">
        <f t="shared" si="66"/>
        <v>0.16561652967417478</v>
      </c>
      <c r="DR10" s="21">
        <f t="shared" si="97"/>
        <v>0.5273581923708115</v>
      </c>
      <c r="DS10" s="18">
        <f>LAT_FEC!$B84*$D$25/SUM($D$14:$D$26)</f>
        <v>74.757738940708109</v>
      </c>
      <c r="DT10" s="18">
        <f t="shared" si="67"/>
        <v>22.810526549820555</v>
      </c>
      <c r="DU10" s="18">
        <f t="shared" si="68"/>
        <v>73.920041190203662</v>
      </c>
      <c r="DV10" s="21">
        <f t="shared" si="69"/>
        <v>0.3085837911146016</v>
      </c>
      <c r="DW10" s="21">
        <f t="shared" si="98"/>
        <v>0.53128787092063112</v>
      </c>
      <c r="DX10" s="18">
        <f>LAT_FEC!$B84*$D$26/SUM($D$14:$D$26)</f>
        <v>350.30901921585917</v>
      </c>
      <c r="DY10" s="18">
        <f t="shared" si="70"/>
        <v>122.61678445757062</v>
      </c>
      <c r="DZ10" s="18">
        <f t="shared" si="71"/>
        <v>348.15808291723295</v>
      </c>
      <c r="EA10" s="21">
        <f t="shared" si="72"/>
        <v>0.35218709682153237</v>
      </c>
      <c r="EB10" s="21">
        <f t="shared" si="73"/>
        <v>0.16767124433711486</v>
      </c>
      <c r="EC10" s="18">
        <f t="shared" si="74"/>
        <v>75.263238080115116</v>
      </c>
      <c r="ED10" s="21">
        <f t="shared" si="75"/>
        <v>6.2975626116504643E-3</v>
      </c>
    </row>
    <row r="11" spans="1:136" ht="19.5" customHeight="1" thickBot="1" x14ac:dyDescent="0.4">
      <c r="A11" s="77"/>
      <c r="B11" s="23" t="s">
        <v>161</v>
      </c>
      <c r="C11" s="18">
        <f t="shared" si="99"/>
        <v>1387.039104541404</v>
      </c>
      <c r="D11" s="18">
        <f t="shared" si="99"/>
        <v>3070.5384269901215</v>
      </c>
      <c r="E11" s="21">
        <f t="shared" si="0"/>
        <v>0.45172504351331028</v>
      </c>
      <c r="F11" s="21">
        <f t="shared" ref="F11:F26" si="101">IF(D11=0,0,C11*J11/(D11+(C11*J11)-C11))</f>
        <v>0.67317654956600803</v>
      </c>
      <c r="G11" s="49">
        <f>G9</f>
        <v>0.59</v>
      </c>
      <c r="H11" s="23" t="s">
        <v>200</v>
      </c>
      <c r="I11" s="23" t="s">
        <v>178</v>
      </c>
      <c r="J11" s="56">
        <f>'Efficiency Assumptions'!B7</f>
        <v>2.5</v>
      </c>
      <c r="K11" s="84"/>
      <c r="L11" s="58">
        <f t="shared" si="100"/>
        <v>0.7824933687002652</v>
      </c>
      <c r="M11" s="47">
        <f t="shared" si="76"/>
        <v>2028</v>
      </c>
      <c r="N11" s="21">
        <f t="shared" si="77"/>
        <v>0.49306880614590698</v>
      </c>
      <c r="O11" s="18">
        <f>LAT_FEC!B191*D$5/SUM(D$5:D$8)</f>
        <v>318.09502459104283</v>
      </c>
      <c r="P11" s="18">
        <f t="shared" si="1"/>
        <v>109.90002530050982</v>
      </c>
      <c r="Q11" s="18">
        <f t="shared" si="2"/>
        <v>336.81162455763751</v>
      </c>
      <c r="R11" s="21">
        <f t="shared" si="3"/>
        <v>0.32629522643362024</v>
      </c>
      <c r="S11" s="21">
        <f t="shared" si="78"/>
        <v>4.4379927221966431E-2</v>
      </c>
      <c r="T11" s="18">
        <f>LAT_FEC!B191*D$6/SUM(D$5:D$8)</f>
        <v>13842.410876914784</v>
      </c>
      <c r="U11" s="18">
        <f t="shared" si="4"/>
        <v>247.51216248752405</v>
      </c>
      <c r="V11" s="18">
        <f t="shared" si="5"/>
        <v>13568.769665703621</v>
      </c>
      <c r="W11" s="21">
        <f t="shared" si="6"/>
        <v>1.8241312114917464E-2</v>
      </c>
      <c r="X11" s="21">
        <f t="shared" si="79"/>
        <v>0</v>
      </c>
      <c r="Y11" s="18">
        <f>LAT_FEC!$B191*$D$7/SUM($D$5:$D$8)</f>
        <v>10.846185316334928</v>
      </c>
      <c r="Z11" s="18">
        <f t="shared" si="7"/>
        <v>0</v>
      </c>
      <c r="AA11" s="18">
        <f t="shared" si="8"/>
        <v>10.846185316334928</v>
      </c>
      <c r="AB11" s="21">
        <f t="shared" si="9"/>
        <v>0</v>
      </c>
      <c r="AC11" s="21">
        <f t="shared" si="80"/>
        <v>0</v>
      </c>
      <c r="AD11" s="18">
        <f>LAT_FEC!$B191*$D$8/SUM($D$5:$D$8)</f>
        <v>11.545450609625927</v>
      </c>
      <c r="AE11" s="18">
        <f t="shared" si="10"/>
        <v>0</v>
      </c>
      <c r="AF11" s="18">
        <f t="shared" si="11"/>
        <v>11.545450609625927</v>
      </c>
      <c r="AG11" s="21">
        <f t="shared" si="12"/>
        <v>0</v>
      </c>
      <c r="AH11" s="21">
        <f t="shared" si="13"/>
        <v>2.5661464857964462E-2</v>
      </c>
      <c r="AI11" s="18">
        <f t="shared" si="14"/>
        <v>254.92461124456713</v>
      </c>
      <c r="AJ11" s="21">
        <f t="shared" si="15"/>
        <v>1.7974085377953621E-2</v>
      </c>
      <c r="AL11" s="21">
        <f t="shared" si="81"/>
        <v>0.14472165165972162</v>
      </c>
      <c r="AM11" s="18">
        <f>LAT_FEC!B138*$D$9/SUM($D$9:$D$13)</f>
        <v>11416.186607540327</v>
      </c>
      <c r="AN11" s="18">
        <f t="shared" si="16"/>
        <v>710.94307522222107</v>
      </c>
      <c r="AO11" s="18">
        <f t="shared" si="17"/>
        <v>11185.069261981696</v>
      </c>
      <c r="AP11" s="21">
        <f t="shared" si="18"/>
        <v>6.3561794618360812E-2</v>
      </c>
      <c r="AQ11" s="21">
        <f t="shared" si="82"/>
        <v>1</v>
      </c>
      <c r="AR11" s="18">
        <f>LAT_FEC!$B138*$D$10/SUM($D$9:$D$13)</f>
        <v>12.91399954664333</v>
      </c>
      <c r="AS11" s="18">
        <f t="shared" si="19"/>
        <v>12.91399954664333</v>
      </c>
      <c r="AT11" s="18">
        <f t="shared" si="20"/>
        <v>12.91399954664333</v>
      </c>
      <c r="AU11" s="21">
        <f t="shared" si="21"/>
        <v>1</v>
      </c>
      <c r="AV11" s="18">
        <f t="shared" si="83"/>
        <v>0.67766851739304368</v>
      </c>
      <c r="AW11" s="18">
        <f>LAT_FEC!$B138*$D$11/SUM($D$9:$D$13)</f>
        <v>2888.2811056681462</v>
      </c>
      <c r="AX11" s="18">
        <f t="shared" si="22"/>
        <v>1313.4149607208515</v>
      </c>
      <c r="AY11" s="18">
        <f t="shared" si="23"/>
        <v>2875.2220267917919</v>
      </c>
      <c r="AZ11" s="21">
        <f t="shared" si="24"/>
        <v>0.45680470881282725</v>
      </c>
      <c r="BA11" s="18">
        <f t="shared" si="84"/>
        <v>0.21616852269898101</v>
      </c>
      <c r="BB11" s="18">
        <f>LAT_FEC!$B138*$D$12/SUM($D$9:$D$13)</f>
        <v>974.28163002381029</v>
      </c>
      <c r="BC11" s="18">
        <f t="shared" si="25"/>
        <v>210.60902065500227</v>
      </c>
      <c r="BD11" s="18">
        <f t="shared" si="26"/>
        <v>974.28163002381029</v>
      </c>
      <c r="BE11" s="21">
        <f t="shared" si="27"/>
        <v>0.21616852269898101</v>
      </c>
      <c r="BF11" s="18">
        <f t="shared" si="85"/>
        <v>1</v>
      </c>
      <c r="BG11" s="18">
        <f>LAT_FEC!$B138*$D$13/SUM($D$9:$D$13)</f>
        <v>2246.7009609402076</v>
      </c>
      <c r="BH11" s="18">
        <f t="shared" si="28"/>
        <v>2246.7009609402076</v>
      </c>
      <c r="BI11" s="18">
        <f t="shared" si="29"/>
        <v>2246.7009609402076</v>
      </c>
      <c r="BJ11" s="21">
        <f t="shared" si="30"/>
        <v>1</v>
      </c>
      <c r="BK11" s="21">
        <f t="shared" si="31"/>
        <v>0.25988974148180516</v>
      </c>
      <c r="BL11" s="18">
        <f t="shared" si="32"/>
        <v>244.17642443498335</v>
      </c>
      <c r="BM11" s="21">
        <f t="shared" si="33"/>
        <v>1.3922417176794762E-2</v>
      </c>
      <c r="BO11" s="21">
        <f t="shared" si="86"/>
        <v>0.84495108216856685</v>
      </c>
      <c r="BP11" s="18">
        <f>LAT_FEC!$B85*$D$14/SUM($D$14:D$26)</f>
        <v>19.309402564761839</v>
      </c>
      <c r="BQ11" s="18">
        <f t="shared" si="34"/>
        <v>15.142623097767251</v>
      </c>
      <c r="BR11" s="18">
        <f t="shared" si="35"/>
        <v>19.31064070373148</v>
      </c>
      <c r="BS11" s="21">
        <f t="shared" si="36"/>
        <v>0.78415953826126417</v>
      </c>
      <c r="BT11" s="21">
        <f t="shared" si="87"/>
        <v>0.49345310517780605</v>
      </c>
      <c r="BU11" s="18">
        <f>LAT_FEC!$B85*$D$15/SUM($D$14:D$26)</f>
        <v>271.52649078168383</v>
      </c>
      <c r="BV11" s="18">
        <f t="shared" si="37"/>
        <v>97.027144008946095</v>
      </c>
      <c r="BW11" s="18">
        <f t="shared" si="38"/>
        <v>269.95233207101774</v>
      </c>
      <c r="BX11" s="21">
        <f t="shared" si="39"/>
        <v>0.35942324804003051</v>
      </c>
      <c r="BY11" s="21">
        <f t="shared" si="88"/>
        <v>0.6099849837586877</v>
      </c>
      <c r="BZ11" s="18">
        <f>LAT_FEC!$B85*$D$16/SUM($D$14:$D$26)</f>
        <v>25.077116545985621</v>
      </c>
      <c r="CA11" s="18">
        <f t="shared" si="40"/>
        <v>12.217710172923882</v>
      </c>
      <c r="CB11" s="18">
        <f t="shared" si="41"/>
        <v>24.889089120967341</v>
      </c>
      <c r="CC11" s="21">
        <f t="shared" si="42"/>
        <v>0.49088619167791492</v>
      </c>
      <c r="CD11" s="21">
        <f t="shared" si="89"/>
        <v>0.24098594482822233</v>
      </c>
      <c r="CE11" s="18">
        <f>LAT_FEC!$B85*$D$17/SUM($D$14:$D$26)</f>
        <v>1987.273041901821</v>
      </c>
      <c r="CF11" s="18">
        <f t="shared" si="43"/>
        <v>340.00674930332997</v>
      </c>
      <c r="CG11" s="18">
        <f t="shared" si="44"/>
        <v>1981.1827441469429</v>
      </c>
      <c r="CH11" s="21">
        <f t="shared" si="45"/>
        <v>0.17161806517234227</v>
      </c>
      <c r="CI11" s="21">
        <f t="shared" si="90"/>
        <v>0.58232307027524643</v>
      </c>
      <c r="CJ11" s="18">
        <f>LAT_FEC!$B85*$D$18/SUM($D$14:$D$26)</f>
        <v>109.55689398446434</v>
      </c>
      <c r="CK11" s="18">
        <f t="shared" si="46"/>
        <v>46.674839599323803</v>
      </c>
      <c r="CL11" s="18">
        <f t="shared" si="47"/>
        <v>108.68243297882779</v>
      </c>
      <c r="CM11" s="21">
        <f t="shared" si="48"/>
        <v>0.42946075386825794</v>
      </c>
      <c r="CN11" s="21">
        <f t="shared" si="91"/>
        <v>0.60332504257996544</v>
      </c>
      <c r="CO11" s="18">
        <f>LAT_FEC!$B85*$D$19/SUM($D$16:Y$28)</f>
        <v>5.5782190113350225</v>
      </c>
      <c r="CP11" s="18">
        <f t="shared" si="49"/>
        <v>2.4945631852012919</v>
      </c>
      <c r="CQ11" s="18">
        <f t="shared" si="50"/>
        <v>5.526223625878548</v>
      </c>
      <c r="CR11" s="21">
        <f t="shared" si="51"/>
        <v>0.45140467597431172</v>
      </c>
      <c r="CS11" s="18">
        <f t="shared" si="92"/>
        <v>0.22544894091944676</v>
      </c>
      <c r="CT11" s="18">
        <f>LAT_FEC!$B85*$D$20/SUM($D$14:$D$26)</f>
        <v>182.07785171395136</v>
      </c>
      <c r="CU11" s="18">
        <f t="shared" si="52"/>
        <v>16.738548165523554</v>
      </c>
      <c r="CV11" s="18">
        <f t="shared" si="53"/>
        <v>177.97272919252873</v>
      </c>
      <c r="CW11" s="21">
        <f t="shared" si="54"/>
        <v>9.4051196728100944E-2</v>
      </c>
      <c r="CX11" s="21">
        <f t="shared" si="93"/>
        <v>0.5689568458212052</v>
      </c>
      <c r="CY11" s="18">
        <f>LAT_FEC!$B85*$D$21/SUM($D$14:$D$26)</f>
        <v>952.79576506526428</v>
      </c>
      <c r="CZ11" s="18">
        <f t="shared" si="55"/>
        <v>325.68717554630587</v>
      </c>
      <c r="DA11" s="18">
        <f t="shared" si="56"/>
        <v>942.54075791439016</v>
      </c>
      <c r="DB11" s="21">
        <f t="shared" si="57"/>
        <v>0.34554174215974609</v>
      </c>
      <c r="DC11" s="21">
        <f t="shared" si="94"/>
        <v>0.6436831620833553</v>
      </c>
      <c r="DD11" s="18">
        <f>LAT_FEC!$B85*$D$22/SUM($D$14:$D$26)</f>
        <v>70.164343291175371</v>
      </c>
      <c r="DE11" s="18">
        <f t="shared" si="58"/>
        <v>29.07889228933756</v>
      </c>
      <c r="DF11" s="18">
        <f t="shared" si="59"/>
        <v>69.32112465222832</v>
      </c>
      <c r="DG11" s="21">
        <f t="shared" si="60"/>
        <v>0.41948096536548074</v>
      </c>
      <c r="DH11" s="21">
        <f t="shared" si="95"/>
        <v>0.26002804730434992</v>
      </c>
      <c r="DI11" s="18">
        <f>LAT_FEC!$B85*$D$23/SUM($D$14:$D$26)</f>
        <v>7592.5597980524653</v>
      </c>
      <c r="DJ11" s="18">
        <f t="shared" si="61"/>
        <v>927.14077819342731</v>
      </c>
      <c r="DK11" s="18">
        <f t="shared" si="62"/>
        <v>7523.1424323972724</v>
      </c>
      <c r="DL11" s="21">
        <f t="shared" si="63"/>
        <v>0.12323849860941567</v>
      </c>
      <c r="DM11" s="21">
        <f t="shared" si="96"/>
        <v>0.36046290267032666</v>
      </c>
      <c r="DN11" s="18">
        <f>LAT_FEC!$B85*$D$24/SUM($D$14:$D$26)</f>
        <v>409.77359637832978</v>
      </c>
      <c r="DO11" s="18">
        <f t="shared" si="64"/>
        <v>67.925656565153488</v>
      </c>
      <c r="DP11" s="18">
        <f t="shared" si="65"/>
        <v>405.81655054949903</v>
      </c>
      <c r="DQ11" s="21">
        <f t="shared" si="66"/>
        <v>0.16738020288521557</v>
      </c>
      <c r="DR11" s="21">
        <f t="shared" si="97"/>
        <v>0.53168967480111406</v>
      </c>
      <c r="DS11" s="18">
        <f>LAT_FEC!$B85*$D$25/SUM($D$14:$D$26)</f>
        <v>75.403673502453245</v>
      </c>
      <c r="DT11" s="18">
        <f t="shared" si="67"/>
        <v>23.196592151130904</v>
      </c>
      <c r="DU11" s="18">
        <f t="shared" si="68"/>
        <v>74.275276431889097</v>
      </c>
      <c r="DV11" s="21">
        <f t="shared" si="69"/>
        <v>0.31230569935882135</v>
      </c>
      <c r="DW11" s="21">
        <f t="shared" si="98"/>
        <v>0.53416964398130451</v>
      </c>
      <c r="DX11" s="18">
        <f>LAT_FEC!$B85*$D$26/SUM($D$14:$D$26)</f>
        <v>353.33581892929124</v>
      </c>
      <c r="DY11" s="18">
        <f t="shared" si="70"/>
        <v>124.34707457156448</v>
      </c>
      <c r="DZ11" s="18">
        <f t="shared" si="71"/>
        <v>350.43846100171123</v>
      </c>
      <c r="EA11" s="21">
        <f t="shared" si="72"/>
        <v>0.35483284059667547</v>
      </c>
      <c r="EB11" s="21">
        <f t="shared" si="73"/>
        <v>0.16963688866228799</v>
      </c>
      <c r="EC11" s="18">
        <f t="shared" si="74"/>
        <v>101.38121693609719</v>
      </c>
      <c r="ED11" s="21">
        <f t="shared" si="75"/>
        <v>8.4102856806113763E-3</v>
      </c>
    </row>
    <row r="12" spans="1:136" ht="19.5" customHeight="1" thickBot="1" x14ac:dyDescent="0.4">
      <c r="A12" s="77"/>
      <c r="B12" s="23" t="s">
        <v>162</v>
      </c>
      <c r="C12" s="18">
        <f t="shared" si="99"/>
        <v>189.10892488498305</v>
      </c>
      <c r="D12" s="18">
        <f t="shared" si="99"/>
        <v>1035.761089122467</v>
      </c>
      <c r="E12" s="21">
        <f t="shared" si="0"/>
        <v>0.18257967679129822</v>
      </c>
      <c r="F12" s="21">
        <f t="shared" si="101"/>
        <v>0.18257967679129822</v>
      </c>
      <c r="G12" s="55">
        <v>1</v>
      </c>
      <c r="H12" s="23" t="s">
        <v>200</v>
      </c>
      <c r="I12" s="23" t="s">
        <v>177</v>
      </c>
      <c r="J12" s="40">
        <v>1</v>
      </c>
      <c r="K12" s="84"/>
      <c r="L12" s="58">
        <f t="shared" si="100"/>
        <v>1</v>
      </c>
      <c r="M12" s="47">
        <f t="shared" si="76"/>
        <v>2029</v>
      </c>
      <c r="N12" s="21">
        <f t="shared" si="77"/>
        <v>0.49883599824184804</v>
      </c>
      <c r="O12" s="18">
        <f>LAT_FEC!B192*D$5/SUM(D$5:D$8)</f>
        <v>319.21798032697274</v>
      </c>
      <c r="P12" s="18">
        <f t="shared" si="1"/>
        <v>111.57798659041197</v>
      </c>
      <c r="Q12" s="18">
        <f t="shared" si="2"/>
        <v>336.7000279157561</v>
      </c>
      <c r="R12" s="21">
        <f t="shared" si="3"/>
        <v>0.33138692408522546</v>
      </c>
      <c r="S12" s="21">
        <f t="shared" si="78"/>
        <v>5.5088877966161312E-2</v>
      </c>
      <c r="T12" s="18">
        <f>LAT_FEC!B192*D$6/SUM(D$5:D$8)</f>
        <v>13891.278081654358</v>
      </c>
      <c r="U12" s="18">
        <f t="shared" si="4"/>
        <v>308.32188679865772</v>
      </c>
      <c r="V12" s="18">
        <f t="shared" si="5"/>
        <v>13526.797983181525</v>
      </c>
      <c r="W12" s="21">
        <f t="shared" si="6"/>
        <v>2.2793412541682677E-2</v>
      </c>
      <c r="X12" s="21">
        <f t="shared" si="79"/>
        <v>0</v>
      </c>
      <c r="Y12" s="18">
        <f>LAT_FEC!$B192*$D$7/SUM($D$5:$D$8)</f>
        <v>10.884475088485864</v>
      </c>
      <c r="Z12" s="18">
        <f t="shared" si="7"/>
        <v>0</v>
      </c>
      <c r="AA12" s="18">
        <f t="shared" si="8"/>
        <v>10.884475088485864</v>
      </c>
      <c r="AB12" s="21">
        <f t="shared" si="9"/>
        <v>0</v>
      </c>
      <c r="AC12" s="21">
        <f t="shared" si="80"/>
        <v>0</v>
      </c>
      <c r="AD12" s="18">
        <f>LAT_FEC!$B192*$D$8/SUM($D$5:$D$8)</f>
        <v>11.586208964782985</v>
      </c>
      <c r="AE12" s="18">
        <f t="shared" si="10"/>
        <v>0</v>
      </c>
      <c r="AF12" s="18">
        <f t="shared" si="11"/>
        <v>11.586208964782985</v>
      </c>
      <c r="AG12" s="21">
        <f t="shared" si="12"/>
        <v>0</v>
      </c>
      <c r="AH12" s="21">
        <f t="shared" si="13"/>
        <v>3.0239148784464199E-2</v>
      </c>
      <c r="AI12" s="18">
        <f t="shared" si="14"/>
        <v>346.99805088404901</v>
      </c>
      <c r="AJ12" s="21">
        <f t="shared" si="15"/>
        <v>2.4379882077692976E-2</v>
      </c>
      <c r="AL12" s="21">
        <f t="shared" si="81"/>
        <v>0.15376040823843162</v>
      </c>
      <c r="AM12" s="18">
        <f>LAT_FEC!B139*$D$9/SUM($D$9:$D$13)</f>
        <v>11185.661323931296</v>
      </c>
      <c r="AN12" s="18">
        <f t="shared" si="16"/>
        <v>740.09325833611729</v>
      </c>
      <c r="AO12" s="18">
        <f t="shared" si="17"/>
        <v>10894.259533379389</v>
      </c>
      <c r="AP12" s="21">
        <f t="shared" si="18"/>
        <v>6.7934241521281358E-2</v>
      </c>
      <c r="AQ12" s="21">
        <f t="shared" si="82"/>
        <v>1</v>
      </c>
      <c r="AR12" s="18">
        <f>LAT_FEC!$B139*$D$10/SUM($D$9:$D$13)</f>
        <v>12.653229158915911</v>
      </c>
      <c r="AS12" s="18">
        <f t="shared" si="19"/>
        <v>12.653229158915911</v>
      </c>
      <c r="AT12" s="18">
        <f t="shared" si="20"/>
        <v>12.653229158915911</v>
      </c>
      <c r="AU12" s="21">
        <f t="shared" si="21"/>
        <v>1</v>
      </c>
      <c r="AV12" s="18">
        <f t="shared" si="83"/>
        <v>0.67915413723012596</v>
      </c>
      <c r="AW12" s="18">
        <f>LAT_FEC!$B139*$D$11/SUM($D$9:$D$13)</f>
        <v>2829.9584937561276</v>
      </c>
      <c r="AX12" s="18">
        <f t="shared" si="22"/>
        <v>1289.7145703089589</v>
      </c>
      <c r="AY12" s="18">
        <f t="shared" si="23"/>
        <v>2812.9313238919622</v>
      </c>
      <c r="AZ12" s="21">
        <f t="shared" si="24"/>
        <v>0.45849486596228528</v>
      </c>
      <c r="BA12" s="18">
        <f t="shared" si="84"/>
        <v>0.22727729678343006</v>
      </c>
      <c r="BB12" s="18">
        <f>LAT_FEC!$B139*$D$12/SUM($D$9:$D$13)</f>
        <v>954.6081123425239</v>
      </c>
      <c r="BC12" s="18">
        <f t="shared" si="25"/>
        <v>216.96075126074174</v>
      </c>
      <c r="BD12" s="18">
        <f t="shared" si="26"/>
        <v>954.6081123425239</v>
      </c>
      <c r="BE12" s="21">
        <f t="shared" si="27"/>
        <v>0.22727729678343006</v>
      </c>
      <c r="BF12" s="18">
        <f t="shared" si="85"/>
        <v>1</v>
      </c>
      <c r="BG12" s="18">
        <f>LAT_FEC!$B139*$D$13/SUM($D$9:$D$13)</f>
        <v>2201.3336772744569</v>
      </c>
      <c r="BH12" s="18">
        <f t="shared" si="28"/>
        <v>2201.3336772744569</v>
      </c>
      <c r="BI12" s="18">
        <f t="shared" si="29"/>
        <v>2201.3336772744569</v>
      </c>
      <c r="BJ12" s="21">
        <f t="shared" si="30"/>
        <v>1</v>
      </c>
      <c r="BK12" s="21">
        <f t="shared" si="31"/>
        <v>0.26432875595266897</v>
      </c>
      <c r="BL12" s="18">
        <f t="shared" si="32"/>
        <v>308.42896041606946</v>
      </c>
      <c r="BM12" s="21">
        <f t="shared" si="33"/>
        <v>1.7948388294215904E-2</v>
      </c>
      <c r="BO12" s="21">
        <f t="shared" si="86"/>
        <v>0.84490538377905677</v>
      </c>
      <c r="BP12" s="18">
        <f>LAT_FEC!$B86*$D$14/SUM($D$14:D$26)</f>
        <v>19.465463553180363</v>
      </c>
      <c r="BQ12" s="18">
        <f t="shared" si="34"/>
        <v>15.264182063637106</v>
      </c>
      <c r="BR12" s="18">
        <f t="shared" si="35"/>
        <v>19.467124495778378</v>
      </c>
      <c r="BS12" s="21">
        <f t="shared" si="36"/>
        <v>0.78410050066445514</v>
      </c>
      <c r="BT12" s="21">
        <f t="shared" si="87"/>
        <v>0.49704974107876587</v>
      </c>
      <c r="BU12" s="18">
        <f>LAT_FEC!$B86*$D$15/SUM($D$14:D$26)</f>
        <v>273.72100158496124</v>
      </c>
      <c r="BV12" s="18">
        <f t="shared" si="37"/>
        <v>98.52424771076997</v>
      </c>
      <c r="BW12" s="18">
        <f t="shared" si="38"/>
        <v>271.60929415736564</v>
      </c>
      <c r="BX12" s="21">
        <f t="shared" si="39"/>
        <v>0.36274254905904196</v>
      </c>
      <c r="BY12" s="21">
        <f t="shared" si="88"/>
        <v>0.61497585498081631</v>
      </c>
      <c r="BZ12" s="18">
        <f>LAT_FEC!$B86*$D$16/SUM($D$14:$D$26)</f>
        <v>25.279792914750903</v>
      </c>
      <c r="CA12" s="18">
        <f t="shared" si="40"/>
        <v>12.417227936510331</v>
      </c>
      <c r="CB12" s="18">
        <f t="shared" si="41"/>
        <v>25.027557287356796</v>
      </c>
      <c r="CC12" s="21">
        <f t="shared" si="42"/>
        <v>0.49614222410683118</v>
      </c>
      <c r="CD12" s="21">
        <f t="shared" si="89"/>
        <v>0.24366676790879066</v>
      </c>
      <c r="CE12" s="18">
        <f>LAT_FEC!$B86*$D$17/SUM($D$14:$D$26)</f>
        <v>2003.3344293081127</v>
      </c>
      <c r="CF12" s="18">
        <f t="shared" si="43"/>
        <v>346.56766535981524</v>
      </c>
      <c r="CG12" s="18">
        <f t="shared" si="44"/>
        <v>1995.1643973296966</v>
      </c>
      <c r="CH12" s="21">
        <f t="shared" si="45"/>
        <v>0.17370381399330156</v>
      </c>
      <c r="CI12" s="21">
        <f t="shared" si="90"/>
        <v>0.58655712236125102</v>
      </c>
      <c r="CJ12" s="18">
        <f>LAT_FEC!$B86*$D$18/SUM($D$14:$D$26)</f>
        <v>110.44234640102334</v>
      </c>
      <c r="CK12" s="18">
        <f t="shared" si="46"/>
        <v>47.394185526420799</v>
      </c>
      <c r="CL12" s="18">
        <f t="shared" si="47"/>
        <v>109.26927167340332</v>
      </c>
      <c r="CM12" s="21">
        <f t="shared" si="48"/>
        <v>0.43373754396458353</v>
      </c>
      <c r="CN12" s="21">
        <f t="shared" si="91"/>
        <v>0.6082270903136936</v>
      </c>
      <c r="CO12" s="18">
        <f>LAT_FEC!$B86*$D$19/SUM($D$16:Y$28)</f>
        <v>5.6233028698129957</v>
      </c>
      <c r="CP12" s="18">
        <f t="shared" si="49"/>
        <v>2.5351568239121369</v>
      </c>
      <c r="CQ12" s="18">
        <f t="shared" si="50"/>
        <v>5.5535519349643305</v>
      </c>
      <c r="CR12" s="21">
        <f t="shared" si="51"/>
        <v>0.45649286323427885</v>
      </c>
      <c r="CS12" s="18">
        <f t="shared" si="92"/>
        <v>0.23558698226774405</v>
      </c>
      <c r="CT12" s="18">
        <f>LAT_FEC!$B86*$D$20/SUM($D$14:$D$26)</f>
        <v>183.54942751295906</v>
      </c>
      <c r="CU12" s="18">
        <f t="shared" si="52"/>
        <v>17.632617625227255</v>
      </c>
      <c r="CV12" s="18">
        <f t="shared" si="53"/>
        <v>178.04247471274897</v>
      </c>
      <c r="CW12" s="21">
        <f t="shared" si="54"/>
        <v>9.9036017409190991E-2</v>
      </c>
      <c r="CX12" s="21">
        <f t="shared" si="93"/>
        <v>0.57290682158315764</v>
      </c>
      <c r="CY12" s="18">
        <f>LAT_FEC!$B86*$D$21/SUM($D$14:$D$26)</f>
        <v>960.49637870974982</v>
      </c>
      <c r="CZ12" s="18">
        <f t="shared" si="55"/>
        <v>330.59877317804359</v>
      </c>
      <c r="DA12" s="18">
        <f t="shared" si="56"/>
        <v>946.73945914133947</v>
      </c>
      <c r="DB12" s="21">
        <f t="shared" si="57"/>
        <v>0.34919720519295294</v>
      </c>
      <c r="DC12" s="21">
        <f t="shared" si="94"/>
        <v>0.64779858319795247</v>
      </c>
      <c r="DD12" s="18">
        <f>LAT_FEC!$B86*$D$22/SUM($D$14:$D$26)</f>
        <v>70.731420223205376</v>
      </c>
      <c r="DE12" s="18">
        <f t="shared" si="58"/>
        <v>29.501331494173112</v>
      </c>
      <c r="DF12" s="18">
        <f t="shared" si="59"/>
        <v>69.60025660489525</v>
      </c>
      <c r="DG12" s="21">
        <f t="shared" si="60"/>
        <v>0.4238681426369651</v>
      </c>
      <c r="DH12" s="21">
        <f t="shared" si="95"/>
        <v>0.26432066719693481</v>
      </c>
      <c r="DI12" s="18">
        <f>LAT_FEC!$B86*$D$23/SUM($D$14:$D$26)</f>
        <v>7653.9238088102693</v>
      </c>
      <c r="DJ12" s="18">
        <f t="shared" si="61"/>
        <v>950.06326022702854</v>
      </c>
      <c r="DK12" s="18">
        <f t="shared" si="62"/>
        <v>7560.8015806226431</v>
      </c>
      <c r="DL12" s="21">
        <f t="shared" si="63"/>
        <v>0.12565642016871834</v>
      </c>
      <c r="DM12" s="21">
        <f t="shared" si="96"/>
        <v>0.36431320943333945</v>
      </c>
      <c r="DN12" s="18">
        <f>LAT_FEC!$B86*$D$24/SUM($D$14:$D$26)</f>
        <v>413.08543744975259</v>
      </c>
      <c r="DO12" s="18">
        <f t="shared" si="64"/>
        <v>69.206056252094328</v>
      </c>
      <c r="DP12" s="18">
        <f t="shared" si="65"/>
        <v>407.77712704149531</v>
      </c>
      <c r="DQ12" s="21">
        <f t="shared" si="66"/>
        <v>0.16971539515763948</v>
      </c>
      <c r="DR12" s="21">
        <f t="shared" si="97"/>
        <v>0.53739231253711039</v>
      </c>
      <c r="DS12" s="18">
        <f>LAT_FEC!$B86*$D$25/SUM($D$14:$D$26)</f>
        <v>76.013095351612648</v>
      </c>
      <c r="DT12" s="18">
        <f t="shared" si="67"/>
        <v>23.634875735563003</v>
      </c>
      <c r="DU12" s="18">
        <f t="shared" si="68"/>
        <v>74.499369664970132</v>
      </c>
      <c r="DV12" s="21">
        <f t="shared" si="69"/>
        <v>0.3172493383749555</v>
      </c>
      <c r="DW12" s="21">
        <f t="shared" si="98"/>
        <v>0.53796365863259454</v>
      </c>
      <c r="DX12" s="18">
        <f>LAT_FEC!$B86*$D$26/SUM($D$14:$D$26)</f>
        <v>356.19152287770873</v>
      </c>
      <c r="DY12" s="18">
        <f t="shared" si="70"/>
        <v>126.24239363397473</v>
      </c>
      <c r="DZ12" s="18">
        <f t="shared" si="71"/>
        <v>352.30476596138453</v>
      </c>
      <c r="EA12" s="21">
        <f t="shared" si="72"/>
        <v>0.35833291465552275</v>
      </c>
      <c r="EB12" s="21">
        <f t="shared" si="73"/>
        <v>0.17223757790076338</v>
      </c>
      <c r="EC12" s="18">
        <f t="shared" si="74"/>
        <v>136.00119693905617</v>
      </c>
      <c r="ED12" s="21">
        <f t="shared" si="75"/>
        <v>1.1191803207839704E-2</v>
      </c>
    </row>
    <row r="13" spans="1:136" ht="19.5" customHeight="1" thickBot="1" x14ac:dyDescent="0.4">
      <c r="A13" s="77"/>
      <c r="B13" s="23" t="s">
        <v>179</v>
      </c>
      <c r="C13" s="65">
        <f t="shared" si="99"/>
        <v>2388.473068284221</v>
      </c>
      <c r="D13" s="65">
        <f t="shared" si="99"/>
        <v>2388.473068284221</v>
      </c>
      <c r="E13" s="21">
        <f t="shared" si="0"/>
        <v>1</v>
      </c>
      <c r="F13" s="21">
        <f t="shared" si="101"/>
        <v>1</v>
      </c>
      <c r="G13" s="55">
        <v>1</v>
      </c>
      <c r="H13" s="23" t="s">
        <v>200</v>
      </c>
      <c r="I13" s="23" t="s">
        <v>688</v>
      </c>
      <c r="J13" s="40">
        <v>1</v>
      </c>
      <c r="K13" s="84"/>
      <c r="L13" s="58">
        <f t="shared" si="100"/>
        <v>1</v>
      </c>
      <c r="M13" s="47">
        <f t="shared" si="76"/>
        <v>2030</v>
      </c>
      <c r="N13" s="21">
        <f t="shared" si="77"/>
        <v>0.506366498585061</v>
      </c>
      <c r="O13" s="18">
        <f>LAT_FEC!B193*D$5/SUM(D$5:D$8)</f>
        <v>320.35985222453041</v>
      </c>
      <c r="P13" s="18">
        <f t="shared" si="1"/>
        <v>113.6675339078364</v>
      </c>
      <c r="Q13" s="18">
        <f t="shared" si="2"/>
        <v>336.2000688609989</v>
      </c>
      <c r="R13" s="21">
        <f t="shared" si="3"/>
        <v>0.33809491560464838</v>
      </c>
      <c r="S13" s="21">
        <f t="shared" si="78"/>
        <v>6.907207046487597E-2</v>
      </c>
      <c r="T13" s="18">
        <f>LAT_FEC!B193*D$6/SUM(D$5:D$8)</f>
        <v>13940.968453250449</v>
      </c>
      <c r="U13" s="18">
        <f t="shared" si="4"/>
        <v>387.96597717628043</v>
      </c>
      <c r="V13" s="18">
        <f t="shared" si="5"/>
        <v>13457.413473937089</v>
      </c>
      <c r="W13" s="21">
        <f t="shared" si="6"/>
        <v>2.8829163786016708E-2</v>
      </c>
      <c r="X13" s="21">
        <f t="shared" si="79"/>
        <v>0</v>
      </c>
      <c r="Y13" s="18">
        <f>LAT_FEC!$B193*$D$7/SUM($D$5:$D$8)</f>
        <v>10.923409850902688</v>
      </c>
      <c r="Z13" s="18">
        <f t="shared" si="7"/>
        <v>0</v>
      </c>
      <c r="AA13" s="18">
        <f t="shared" si="8"/>
        <v>10.923409850902688</v>
      </c>
      <c r="AB13" s="21">
        <f t="shared" si="9"/>
        <v>0</v>
      </c>
      <c r="AC13" s="21">
        <f t="shared" si="80"/>
        <v>0</v>
      </c>
      <c r="AD13" s="18">
        <f>LAT_FEC!$B193*$D$8/SUM($D$5:$D$8)</f>
        <v>11.627653893425682</v>
      </c>
      <c r="AE13" s="18">
        <f t="shared" si="10"/>
        <v>0</v>
      </c>
      <c r="AF13" s="18">
        <f t="shared" si="11"/>
        <v>11.627653893425682</v>
      </c>
      <c r="AG13" s="21">
        <f t="shared" si="12"/>
        <v>0</v>
      </c>
      <c r="AH13" s="21">
        <f t="shared" si="13"/>
        <v>3.6307725433915042E-2</v>
      </c>
      <c r="AI13" s="18">
        <f t="shared" si="14"/>
        <v>467.71476267689104</v>
      </c>
      <c r="AJ13" s="21">
        <f t="shared" si="15"/>
        <v>3.2744239193505192E-2</v>
      </c>
      <c r="AL13" s="21">
        <f t="shared" si="81"/>
        <v>0.16556274781475655</v>
      </c>
      <c r="AM13" s="18">
        <f>LAT_FEC!B140*$D$9/SUM($D$9:$D$13)</f>
        <v>10960.302541142348</v>
      </c>
      <c r="AN13" s="18">
        <f t="shared" si="16"/>
        <v>780.84606669725099</v>
      </c>
      <c r="AO13" s="18">
        <f t="shared" si="17"/>
        <v>10591.670214874664</v>
      </c>
      <c r="AP13" s="21">
        <f t="shared" si="18"/>
        <v>7.3722656659065078E-2</v>
      </c>
      <c r="AQ13" s="21">
        <f t="shared" si="82"/>
        <v>1</v>
      </c>
      <c r="AR13" s="18">
        <f>LAT_FEC!$B140*$D$10/SUM($D$9:$D$13)</f>
        <v>12.398303121105148</v>
      </c>
      <c r="AS13" s="18">
        <f t="shared" si="19"/>
        <v>12.398303121105148</v>
      </c>
      <c r="AT13" s="18">
        <f t="shared" si="20"/>
        <v>12.398303121105148</v>
      </c>
      <c r="AU13" s="21">
        <f t="shared" si="21"/>
        <v>1</v>
      </c>
      <c r="AV13" s="18">
        <f t="shared" si="83"/>
        <v>0.68109398256680298</v>
      </c>
      <c r="AW13" s="18">
        <f>LAT_FEC!$B140*$D$11/SUM($D$9:$D$13)</f>
        <v>2772.943000167772</v>
      </c>
      <c r="AX13" s="18">
        <f t="shared" si="22"/>
        <v>1267.3400965656201</v>
      </c>
      <c r="AY13" s="18">
        <f t="shared" si="23"/>
        <v>2750.8445514354153</v>
      </c>
      <c r="AZ13" s="21">
        <f t="shared" si="24"/>
        <v>0.46070945590302831</v>
      </c>
      <c r="BA13" s="18">
        <f t="shared" si="84"/>
        <v>0.24178255786438035</v>
      </c>
      <c r="BB13" s="18">
        <f>LAT_FEC!$B140*$D$12/SUM($D$9:$D$13)</f>
        <v>935.37551482254491</v>
      </c>
      <c r="BC13" s="18">
        <f t="shared" si="25"/>
        <v>226.15748453750652</v>
      </c>
      <c r="BD13" s="18">
        <f t="shared" si="26"/>
        <v>935.3755148225448</v>
      </c>
      <c r="BE13" s="21">
        <f t="shared" si="27"/>
        <v>0.24178255786438038</v>
      </c>
      <c r="BF13" s="18">
        <f t="shared" si="85"/>
        <v>1</v>
      </c>
      <c r="BG13" s="18">
        <f>LAT_FEC!$B140*$D$13/SUM($D$9:$D$13)</f>
        <v>2156.983158904879</v>
      </c>
      <c r="BH13" s="18">
        <f t="shared" si="28"/>
        <v>2156.983158904879</v>
      </c>
      <c r="BI13" s="18">
        <f t="shared" si="29"/>
        <v>2156.983158904879</v>
      </c>
      <c r="BJ13" s="21">
        <f t="shared" si="30"/>
        <v>1</v>
      </c>
      <c r="BK13" s="21">
        <f t="shared" si="31"/>
        <v>0.27018007480023365</v>
      </c>
      <c r="BL13" s="18">
        <f t="shared" si="32"/>
        <v>390.73077500004001</v>
      </c>
      <c r="BM13" s="21">
        <f t="shared" si="33"/>
        <v>2.3205292586140389E-2</v>
      </c>
      <c r="BO13" s="21">
        <f t="shared" si="86"/>
        <v>0.84484571319202506</v>
      </c>
      <c r="BP13" s="18">
        <f>LAT_FEC!$B87*$D$14/SUM($D$14:D$26)</f>
        <v>19.623701723860695</v>
      </c>
      <c r="BQ13" s="18">
        <f t="shared" si="34"/>
        <v>15.387180498698646</v>
      </c>
      <c r="BR13" s="18">
        <f t="shared" si="35"/>
        <v>19.625919558948585</v>
      </c>
      <c r="BS13" s="21">
        <f t="shared" si="36"/>
        <v>0.78402341620129312</v>
      </c>
      <c r="BT13" s="21">
        <f t="shared" si="87"/>
        <v>0.50174604171103565</v>
      </c>
      <c r="BU13" s="18">
        <f>LAT_FEC!$B87*$D$15/SUM($D$14:D$26)</f>
        <v>275.946127662707</v>
      </c>
      <c r="BV13" s="18">
        <f t="shared" si="37"/>
        <v>100.26362771685125</v>
      </c>
      <c r="BW13" s="18">
        <f t="shared" si="38"/>
        <v>273.12639214994437</v>
      </c>
      <c r="BX13" s="21">
        <f t="shared" si="39"/>
        <v>0.36709607931923055</v>
      </c>
      <c r="BY13" s="21">
        <f t="shared" si="88"/>
        <v>0.6214926757882282</v>
      </c>
      <c r="BZ13" s="18">
        <f>LAT_FEC!$B87*$D$16/SUM($D$14:$D$26)</f>
        <v>25.485296789604899</v>
      </c>
      <c r="CA13" s="18">
        <f t="shared" si="40"/>
        <v>12.650823213005351</v>
      </c>
      <c r="CB13" s="18">
        <f t="shared" si="41"/>
        <v>25.148489831002227</v>
      </c>
      <c r="CC13" s="21">
        <f t="shared" si="42"/>
        <v>0.50304504556809748</v>
      </c>
      <c r="CD13" s="21">
        <f t="shared" si="89"/>
        <v>0.24716724765568884</v>
      </c>
      <c r="CE13" s="18">
        <f>LAT_FEC!$B87*$D$17/SUM($D$14:$D$26)</f>
        <v>2019.6198865996162</v>
      </c>
      <c r="CF13" s="18">
        <f t="shared" si="43"/>
        <v>354.40418619249658</v>
      </c>
      <c r="CG13" s="18">
        <f t="shared" si="44"/>
        <v>2008.7105489665253</v>
      </c>
      <c r="CH13" s="21">
        <f t="shared" si="45"/>
        <v>0.17643367600913748</v>
      </c>
      <c r="CI13" s="21">
        <f t="shared" si="90"/>
        <v>0.59208572799054493</v>
      </c>
      <c r="CJ13" s="18">
        <f>LAT_FEC!$B87*$D$18/SUM($D$14:$D$26)</f>
        <v>111.34015162474152</v>
      </c>
      <c r="CK13" s="18">
        <f t="shared" si="46"/>
        <v>48.229807427214844</v>
      </c>
      <c r="CL13" s="18">
        <f t="shared" si="47"/>
        <v>109.77376017042874</v>
      </c>
      <c r="CM13" s="21">
        <f t="shared" si="48"/>
        <v>0.43935643046513012</v>
      </c>
      <c r="CN13" s="21">
        <f t="shared" si="91"/>
        <v>0.61462793001647842</v>
      </c>
      <c r="CO13" s="18">
        <f>LAT_FEC!$B87*$D$19/SUM($D$16:Y$28)</f>
        <v>5.6690156860975716</v>
      </c>
      <c r="CP13" s="18">
        <f t="shared" si="49"/>
        <v>2.5826618380547108</v>
      </c>
      <c r="CQ13" s="18">
        <f t="shared" si="50"/>
        <v>5.5758781683377778</v>
      </c>
      <c r="CR13" s="21">
        <f t="shared" si="51"/>
        <v>0.46318476840476358</v>
      </c>
      <c r="CS13" s="18">
        <f t="shared" si="92"/>
        <v>0.24882471088555622</v>
      </c>
      <c r="CT13" s="18">
        <f>LAT_FEC!$B87*$D$20/SUM($D$14:$D$26)</f>
        <v>185.04153303408995</v>
      </c>
      <c r="CU13" s="18">
        <f t="shared" si="52"/>
        <v>18.774794502289424</v>
      </c>
      <c r="CV13" s="18">
        <f t="shared" si="53"/>
        <v>177.68817045415119</v>
      </c>
      <c r="CW13" s="21">
        <f t="shared" si="54"/>
        <v>0.10566147681245824</v>
      </c>
      <c r="CX13" s="21">
        <f t="shared" si="93"/>
        <v>0.57806449508114999</v>
      </c>
      <c r="CY13" s="18">
        <f>LAT_FEC!$B87*$D$21/SUM($D$14:$D$26)</f>
        <v>968.30442240194748</v>
      </c>
      <c r="CZ13" s="18">
        <f t="shared" si="55"/>
        <v>336.28672472499301</v>
      </c>
      <c r="DA13" s="18">
        <f t="shared" si="56"/>
        <v>949.93498630187491</v>
      </c>
      <c r="DB13" s="21">
        <f t="shared" si="57"/>
        <v>0.35401025288495502</v>
      </c>
      <c r="DC13" s="21">
        <f t="shared" si="94"/>
        <v>0.65317228665717164</v>
      </c>
      <c r="DD13" s="18">
        <f>LAT_FEC!$B87*$D$22/SUM($D$14:$D$26)</f>
        <v>71.306408356170408</v>
      </c>
      <c r="DE13" s="18">
        <f t="shared" si="58"/>
        <v>29.987865696099036</v>
      </c>
      <c r="DF13" s="18">
        <f t="shared" si="59"/>
        <v>69.795980262006879</v>
      </c>
      <c r="DG13" s="21">
        <f t="shared" si="60"/>
        <v>0.42965032633007938</v>
      </c>
      <c r="DH13" s="21">
        <f t="shared" si="95"/>
        <v>0.26992574763064248</v>
      </c>
      <c r="DI13" s="18">
        <f>LAT_FEC!$B87*$D$23/SUM($D$14:$D$26)</f>
        <v>7716.143899214173</v>
      </c>
      <c r="DJ13" s="18">
        <f t="shared" si="61"/>
        <v>978.09693607219265</v>
      </c>
      <c r="DK13" s="18">
        <f t="shared" si="62"/>
        <v>7591.7989968773882</v>
      </c>
      <c r="DL13" s="21">
        <f t="shared" si="63"/>
        <v>0.12883598952955649</v>
      </c>
      <c r="DM13" s="21">
        <f t="shared" si="96"/>
        <v>0.36934074032150765</v>
      </c>
      <c r="DN13" s="18">
        <f>LAT_FEC!$B87*$D$24/SUM($D$14:$D$26)</f>
        <v>416.44348149417777</v>
      </c>
      <c r="DO13" s="18">
        <f t="shared" si="64"/>
        <v>70.731453373297896</v>
      </c>
      <c r="DP13" s="18">
        <f t="shared" si="65"/>
        <v>409.35536352133272</v>
      </c>
      <c r="DQ13" s="21">
        <f t="shared" si="66"/>
        <v>0.17278741083262214</v>
      </c>
      <c r="DR13" s="21">
        <f t="shared" si="97"/>
        <v>0.54483852114499831</v>
      </c>
      <c r="DS13" s="18">
        <f>LAT_FEC!$B87*$D$25/SUM($D$14:$D$26)</f>
        <v>76.631019148974445</v>
      </c>
      <c r="DT13" s="18">
        <f t="shared" si="67"/>
        <v>24.157159275795586</v>
      </c>
      <c r="DU13" s="18">
        <f t="shared" si="68"/>
        <v>74.609760891590327</v>
      </c>
      <c r="DV13" s="21">
        <f t="shared" si="69"/>
        <v>0.32378014601730848</v>
      </c>
      <c r="DW13" s="21">
        <f t="shared" si="98"/>
        <v>0.54291768620067271</v>
      </c>
      <c r="DX13" s="18">
        <f>LAT_FEC!$B87*$D$26/SUM($D$14:$D$26)</f>
        <v>359.0870663019906</v>
      </c>
      <c r="DY13" s="18">
        <f t="shared" si="70"/>
        <v>128.44063825311679</v>
      </c>
      <c r="DZ13" s="18">
        <f t="shared" si="71"/>
        <v>353.89713025156254</v>
      </c>
      <c r="EA13" s="21">
        <f t="shared" si="72"/>
        <v>0.36293212708963379</v>
      </c>
      <c r="EB13" s="21">
        <f t="shared" si="73"/>
        <v>0.17565552992079606</v>
      </c>
      <c r="EC13" s="18">
        <f t="shared" si="74"/>
        <v>181.60063263305892</v>
      </c>
      <c r="ED13" s="21">
        <f t="shared" si="75"/>
        <v>1.482376454101391E-2</v>
      </c>
    </row>
    <row r="14" spans="1:136" ht="19.5" customHeight="1" thickBot="1" x14ac:dyDescent="0.4">
      <c r="A14" s="77" t="s">
        <v>126</v>
      </c>
      <c r="B14" s="31" t="s">
        <v>31</v>
      </c>
      <c r="C14" s="34">
        <v>13.271000000000001</v>
      </c>
      <c r="D14" s="34">
        <v>16.920000000000002</v>
      </c>
      <c r="E14" s="21">
        <f t="shared" si="0"/>
        <v>0.78433806146572105</v>
      </c>
      <c r="F14" s="21">
        <f t="shared" si="101"/>
        <v>0.84508925728598416</v>
      </c>
      <c r="G14" s="55">
        <v>0.78</v>
      </c>
      <c r="H14" s="23" t="s">
        <v>200</v>
      </c>
      <c r="I14" s="23" t="s">
        <v>185</v>
      </c>
      <c r="J14" s="56">
        <f>'Efficiency Assumptions'!G43</f>
        <v>1.5</v>
      </c>
      <c r="K14" s="84"/>
      <c r="L14" s="58">
        <f t="shared" si="100"/>
        <v>0.84172661870503585</v>
      </c>
      <c r="M14" s="47">
        <f t="shared" si="76"/>
        <v>2031</v>
      </c>
      <c r="N14" s="21">
        <f t="shared" si="77"/>
        <v>0.51609430188673455</v>
      </c>
      <c r="O14" s="18">
        <f>LAT_FEC!B194*D$5/SUM(D$5:D$8)</f>
        <v>321.52359518267679</v>
      </c>
      <c r="P14" s="18">
        <f t="shared" si="1"/>
        <v>116.27204254436184</v>
      </c>
      <c r="Q14" s="18">
        <f t="shared" si="2"/>
        <v>335.21167751329887</v>
      </c>
      <c r="R14" s="21">
        <f t="shared" si="3"/>
        <v>0.34686155150352416</v>
      </c>
      <c r="S14" s="21">
        <f t="shared" si="78"/>
        <v>8.7135378340498282E-2</v>
      </c>
      <c r="T14" s="18">
        <f>LAT_FEC!B194*D$6/SUM(D$5:D$8)</f>
        <v>13991.610578830652</v>
      </c>
      <c r="U14" s="18">
        <f t="shared" si="4"/>
        <v>491.2023696129441</v>
      </c>
      <c r="V14" s="18">
        <f t="shared" si="5"/>
        <v>13353.611191764006</v>
      </c>
      <c r="W14" s="21">
        <f t="shared" si="6"/>
        <v>3.6784234808026971E-2</v>
      </c>
      <c r="X14" s="21">
        <f t="shared" si="79"/>
        <v>0</v>
      </c>
      <c r="Y14" s="18">
        <f>LAT_FEC!$B194*$D$7/SUM($D$5:$D$8)</f>
        <v>10.963090357697357</v>
      </c>
      <c r="Z14" s="18">
        <f t="shared" si="7"/>
        <v>0</v>
      </c>
      <c r="AA14" s="18">
        <f t="shared" si="8"/>
        <v>10.963090357697357</v>
      </c>
      <c r="AB14" s="21">
        <f t="shared" si="9"/>
        <v>0</v>
      </c>
      <c r="AC14" s="21">
        <f t="shared" si="80"/>
        <v>0</v>
      </c>
      <c r="AD14" s="18">
        <f>LAT_FEC!$B194*$D$8/SUM($D$5:$D$8)</f>
        <v>11.669892645392496</v>
      </c>
      <c r="AE14" s="18">
        <f t="shared" si="10"/>
        <v>0</v>
      </c>
      <c r="AF14" s="18">
        <f t="shared" si="11"/>
        <v>11.669892645392496</v>
      </c>
      <c r="AG14" s="21">
        <f t="shared" si="12"/>
        <v>0</v>
      </c>
      <c r="AH14" s="21">
        <f t="shared" si="13"/>
        <v>4.43041511201945E-2</v>
      </c>
      <c r="AI14" s="18">
        <f t="shared" si="14"/>
        <v>624.31130473602389</v>
      </c>
      <c r="AJ14" s="21">
        <f t="shared" si="15"/>
        <v>4.3549207928538683E-2</v>
      </c>
      <c r="AL14" s="21">
        <f t="shared" si="81"/>
        <v>0.18080885798876689</v>
      </c>
      <c r="AM14" s="18">
        <f>LAT_FEC!B141*$D$9/SUM($D$9:$D$13)</f>
        <v>10740.078221502232</v>
      </c>
      <c r="AN14" s="18">
        <f t="shared" si="16"/>
        <v>835.617268892894</v>
      </c>
      <c r="AO14" s="18">
        <f t="shared" si="17"/>
        <v>10273.660380341884</v>
      </c>
      <c r="AP14" s="21">
        <f t="shared" si="18"/>
        <v>8.1335885941081362E-2</v>
      </c>
      <c r="AQ14" s="21">
        <f t="shared" si="82"/>
        <v>1</v>
      </c>
      <c r="AR14" s="18">
        <f>LAT_FEC!$B141*$D$10/SUM($D$9:$D$13)</f>
        <v>12.149185192171341</v>
      </c>
      <c r="AS14" s="18">
        <f t="shared" si="19"/>
        <v>12.149185192171341</v>
      </c>
      <c r="AT14" s="18">
        <f t="shared" si="20"/>
        <v>12.149185192171341</v>
      </c>
      <c r="AU14" s="21">
        <f t="shared" si="21"/>
        <v>1</v>
      </c>
      <c r="AV14" s="18">
        <f t="shared" si="83"/>
        <v>0.68359984977493216</v>
      </c>
      <c r="AW14" s="18">
        <f>LAT_FEC!$B141*$D$11/SUM($D$9:$D$13)</f>
        <v>2717.2265194118381</v>
      </c>
      <c r="AX14" s="18">
        <f t="shared" si="22"/>
        <v>1246.4446356012056</v>
      </c>
      <c r="AY14" s="18">
        <f t="shared" si="23"/>
        <v>2688.7184675852795</v>
      </c>
      <c r="AZ14" s="21">
        <f t="shared" si="24"/>
        <v>0.46358317191930826</v>
      </c>
      <c r="BA14" s="18">
        <f t="shared" si="84"/>
        <v>0.26052026720690508</v>
      </c>
      <c r="BB14" s="18">
        <f>LAT_FEC!$B141*$D$12/SUM($D$9:$D$13)</f>
        <v>916.58110330091301</v>
      </c>
      <c r="BC14" s="18">
        <f t="shared" si="25"/>
        <v>238.78795394875371</v>
      </c>
      <c r="BD14" s="18">
        <f t="shared" si="26"/>
        <v>916.58110330091301</v>
      </c>
      <c r="BE14" s="21">
        <f t="shared" si="27"/>
        <v>0.26052026720690508</v>
      </c>
      <c r="BF14" s="18">
        <f t="shared" si="85"/>
        <v>1</v>
      </c>
      <c r="BG14" s="18">
        <f>LAT_FEC!$B141*$D$13/SUM($D$9:$D$13)</f>
        <v>2113.6431008305785</v>
      </c>
      <c r="BH14" s="18">
        <f t="shared" si="28"/>
        <v>2113.6431008305785</v>
      </c>
      <c r="BI14" s="18">
        <f t="shared" si="29"/>
        <v>2113.6431008305785</v>
      </c>
      <c r="BJ14" s="21">
        <f t="shared" si="30"/>
        <v>1</v>
      </c>
      <c r="BK14" s="21">
        <f t="shared" si="31"/>
        <v>0.27783261362310308</v>
      </c>
      <c r="BL14" s="18">
        <f t="shared" si="32"/>
        <v>494.92589298690473</v>
      </c>
      <c r="BM14" s="21">
        <f t="shared" si="33"/>
        <v>2.9996093807423487E-2</v>
      </c>
      <c r="BO14" s="21">
        <f t="shared" si="86"/>
        <v>0.84476863149664161</v>
      </c>
      <c r="BP14" s="18">
        <f>LAT_FEC!$B88*$D$14/SUM($D$14:D$26)</f>
        <v>19.784320696426832</v>
      </c>
      <c r="BQ14" s="18">
        <f t="shared" si="34"/>
        <v>15.511708386363759</v>
      </c>
      <c r="BR14" s="18">
        <f t="shared" si="35"/>
        <v>19.787264374470734</v>
      </c>
      <c r="BS14" s="21">
        <f t="shared" si="36"/>
        <v>0.78392384580340269</v>
      </c>
      <c r="BT14" s="21">
        <f t="shared" si="87"/>
        <v>0.50781266234898848</v>
      </c>
      <c r="BU14" s="18">
        <f>LAT_FEC!$B88*$D$15/SUM($D$14:D$26)</f>
        <v>278.20473228952397</v>
      </c>
      <c r="BV14" s="18">
        <f t="shared" si="37"/>
        <v>102.30649216312111</v>
      </c>
      <c r="BW14" s="18">
        <f t="shared" si="38"/>
        <v>274.46216659387983</v>
      </c>
      <c r="BX14" s="21">
        <f t="shared" si="39"/>
        <v>0.37275262172838364</v>
      </c>
      <c r="BY14" s="21">
        <f t="shared" si="88"/>
        <v>0.62991102092832163</v>
      </c>
      <c r="BZ14" s="18">
        <f>LAT_FEC!$B88*$D$16/SUM($D$14:$D$26)</f>
        <v>25.693892611305152</v>
      </c>
      <c r="CA14" s="18">
        <f t="shared" si="40"/>
        <v>12.927132130336833</v>
      </c>
      <c r="CB14" s="18">
        <f t="shared" si="41"/>
        <v>25.246857006860957</v>
      </c>
      <c r="CC14" s="21">
        <f t="shared" si="42"/>
        <v>0.51202936376689667</v>
      </c>
      <c r="CD14" s="21">
        <f t="shared" si="89"/>
        <v>0.25168912228384793</v>
      </c>
      <c r="CE14" s="18">
        <f>LAT_FEC!$B88*$D$17/SUM($D$14:$D$26)</f>
        <v>2036.1503697737126</v>
      </c>
      <c r="CF14" s="18">
        <f t="shared" si="43"/>
        <v>363.84178775531694</v>
      </c>
      <c r="CG14" s="18">
        <f t="shared" si="44"/>
        <v>2021.6706738579051</v>
      </c>
      <c r="CH14" s="21">
        <f t="shared" si="45"/>
        <v>0.17997084909037458</v>
      </c>
      <c r="CI14" s="21">
        <f t="shared" si="90"/>
        <v>0.59922750949816661</v>
      </c>
      <c r="CJ14" s="18">
        <f>LAT_FEC!$B88*$D$18/SUM($D$14:$D$26)</f>
        <v>112.25146494426571</v>
      </c>
      <c r="CK14" s="18">
        <f t="shared" si="46"/>
        <v>49.211078961739979</v>
      </c>
      <c r="CL14" s="18">
        <f t="shared" si="47"/>
        <v>110.17243203627585</v>
      </c>
      <c r="CM14" s="21">
        <f t="shared" si="48"/>
        <v>0.44667325620565884</v>
      </c>
      <c r="CN14" s="21">
        <f t="shared" si="91"/>
        <v>0.62289645226020318</v>
      </c>
      <c r="CO14" s="18">
        <f>LAT_FEC!$B88*$D$19/SUM($D$16:Y$28)</f>
        <v>5.7154162830784747</v>
      </c>
      <c r="CP14" s="18">
        <f t="shared" si="49"/>
        <v>2.6388294370887451</v>
      </c>
      <c r="CQ14" s="18">
        <f t="shared" si="50"/>
        <v>5.5917971431387379</v>
      </c>
      <c r="CR14" s="21">
        <f t="shared" si="51"/>
        <v>0.47191079532036473</v>
      </c>
      <c r="CS14" s="18">
        <f t="shared" si="92"/>
        <v>0.26592503812623869</v>
      </c>
      <c r="CT14" s="18">
        <f>LAT_FEC!$B88*$D$20/SUM($D$14:$D$26)</f>
        <v>186.55608830690375</v>
      </c>
      <c r="CU14" s="18">
        <f t="shared" si="52"/>
        <v>20.22931249751008</v>
      </c>
      <c r="CV14" s="18">
        <f t="shared" si="53"/>
        <v>176.79615074724626</v>
      </c>
      <c r="CW14" s="21">
        <f t="shared" si="54"/>
        <v>0.11442167949929287</v>
      </c>
      <c r="CX14" s="21">
        <f t="shared" si="93"/>
        <v>0.58472711124156795</v>
      </c>
      <c r="CY14" s="18">
        <f>LAT_FEC!$B88*$D$21/SUM($D$14:$D$26)</f>
        <v>976.2299434706016</v>
      </c>
      <c r="CZ14" s="18">
        <f t="shared" si="55"/>
        <v>342.94688893240016</v>
      </c>
      <c r="DA14" s="18">
        <f t="shared" si="56"/>
        <v>951.8486420736125</v>
      </c>
      <c r="DB14" s="21">
        <f t="shared" si="57"/>
        <v>0.36029561190031922</v>
      </c>
      <c r="DC14" s="21">
        <f t="shared" si="94"/>
        <v>0.66011396753763552</v>
      </c>
      <c r="DD14" s="18">
        <f>LAT_FEC!$B88*$D$22/SUM($D$14:$D$26)</f>
        <v>71.890047580243163</v>
      </c>
      <c r="DE14" s="18">
        <f t="shared" si="58"/>
        <v>30.554623639103859</v>
      </c>
      <c r="DF14" s="18">
        <f t="shared" si="59"/>
        <v>69.885293465764107</v>
      </c>
      <c r="DG14" s="21">
        <f t="shared" si="60"/>
        <v>0.437211065788429</v>
      </c>
      <c r="DH14" s="21">
        <f t="shared" si="95"/>
        <v>0.27716631830511435</v>
      </c>
      <c r="DI14" s="18">
        <f>LAT_FEC!$B88*$D$23/SUM($D$14:$D$26)</f>
        <v>7779.3001335834142</v>
      </c>
      <c r="DJ14" s="18">
        <f t="shared" si="61"/>
        <v>1012.5541258195515</v>
      </c>
      <c r="DK14" s="18">
        <f t="shared" si="62"/>
        <v>7614.2601985230067</v>
      </c>
      <c r="DL14" s="21">
        <f t="shared" si="63"/>
        <v>0.13298128766547326</v>
      </c>
      <c r="DM14" s="21">
        <f t="shared" si="96"/>
        <v>0.37583523993563578</v>
      </c>
      <c r="DN14" s="18">
        <f>LAT_FEC!$B88*$D$24/SUM($D$14:$D$26)</f>
        <v>419.85204961606928</v>
      </c>
      <c r="DO14" s="18">
        <f t="shared" si="64"/>
        <v>72.564310783148741</v>
      </c>
      <c r="DP14" s="18">
        <f t="shared" si="65"/>
        <v>410.44416470921226</v>
      </c>
      <c r="DQ14" s="21">
        <f t="shared" si="66"/>
        <v>0.17679459722507795</v>
      </c>
      <c r="DR14" s="21">
        <f t="shared" si="97"/>
        <v>0.5544574374692034</v>
      </c>
      <c r="DS14" s="18">
        <f>LAT_FEC!$B88*$D$25/SUM($D$14:$D$26)</f>
        <v>77.258240033984023</v>
      </c>
      <c r="DT14" s="18">
        <f t="shared" si="67"/>
        <v>24.78486055739133</v>
      </c>
      <c r="DU14" s="18">
        <f t="shared" si="68"/>
        <v>74.575473589441941</v>
      </c>
      <c r="DV14" s="21">
        <f t="shared" si="69"/>
        <v>0.33234600284054056</v>
      </c>
      <c r="DW14" s="21">
        <f t="shared" si="98"/>
        <v>0.54931723517310826</v>
      </c>
      <c r="DX14" s="18">
        <f>LAT_FEC!$B88*$D$26/SUM($D$14:$D$26)</f>
        <v>362.0261751644681</v>
      </c>
      <c r="DY14" s="18">
        <f t="shared" si="70"/>
        <v>131.01828190487299</v>
      </c>
      <c r="DZ14" s="18">
        <f t="shared" si="71"/>
        <v>355.13770050540734</v>
      </c>
      <c r="EA14" s="21">
        <f t="shared" si="72"/>
        <v>0.36892248195113292</v>
      </c>
      <c r="EB14" s="21">
        <f t="shared" si="73"/>
        <v>0.18010827906334148</v>
      </c>
      <c r="EC14" s="18">
        <f t="shared" si="74"/>
        <v>241.03405972777364</v>
      </c>
      <c r="ED14" s="21">
        <f t="shared" si="75"/>
        <v>1.9515485387988436E-2</v>
      </c>
    </row>
    <row r="15" spans="1:136" ht="19.5" customHeight="1" thickBot="1" x14ac:dyDescent="0.4">
      <c r="A15" s="77"/>
      <c r="B15" s="31" t="s">
        <v>33</v>
      </c>
      <c r="C15" s="34">
        <v>83.147000000000006</v>
      </c>
      <c r="D15" s="34">
        <v>237.92699999999999</v>
      </c>
      <c r="E15" s="21">
        <f t="shared" si="0"/>
        <v>0.34946433149663558</v>
      </c>
      <c r="F15" s="21">
        <f t="shared" si="101"/>
        <v>0.4825782014174988</v>
      </c>
      <c r="G15" s="49">
        <f>63%</f>
        <v>0.63</v>
      </c>
      <c r="H15" s="23" t="s">
        <v>200</v>
      </c>
      <c r="I15" s="23" t="s">
        <v>182</v>
      </c>
      <c r="J15" s="56">
        <f>'Efficiency Assumptions'!G44</f>
        <v>1.7361659612746103</v>
      </c>
      <c r="K15" s="84"/>
      <c r="L15" s="58">
        <f t="shared" si="100"/>
        <v>0.74723056163987278</v>
      </c>
      <c r="M15" s="47">
        <f t="shared" si="76"/>
        <v>2032</v>
      </c>
      <c r="N15" s="21">
        <f t="shared" si="77"/>
        <v>0.52848753065901677</v>
      </c>
      <c r="O15" s="18">
        <f>LAT_FEC!B195*D$5/SUM(D$5:D$8)</f>
        <v>322.72329163416504</v>
      </c>
      <c r="P15" s="18">
        <f t="shared" si="1"/>
        <v>119.50840319242945</v>
      </c>
      <c r="Q15" s="18">
        <f t="shared" si="2"/>
        <v>333.63681559662359</v>
      </c>
      <c r="R15" s="21">
        <f t="shared" si="3"/>
        <v>0.35819908836714986</v>
      </c>
      <c r="S15" s="21">
        <f t="shared" si="78"/>
        <v>0.11014804625168416</v>
      </c>
      <c r="T15" s="18">
        <f>LAT_FEC!B195*D$6/SUM(D$5:D$8)</f>
        <v>14043.817277852202</v>
      </c>
      <c r="U15" s="18">
        <f t="shared" si="4"/>
        <v>623.24699237351558</v>
      </c>
      <c r="V15" s="18">
        <f t="shared" si="5"/>
        <v>13208.187082332912</v>
      </c>
      <c r="W15" s="21">
        <f t="shared" si="6"/>
        <v>4.7186414644835105E-2</v>
      </c>
      <c r="X15" s="21">
        <f t="shared" si="79"/>
        <v>0</v>
      </c>
      <c r="Y15" s="18">
        <f>LAT_FEC!$B195*$D$7/SUM($D$5:$D$8)</f>
        <v>11.003996781973939</v>
      </c>
      <c r="Z15" s="18">
        <f t="shared" si="7"/>
        <v>0</v>
      </c>
      <c r="AA15" s="18">
        <f t="shared" si="8"/>
        <v>11.003996781973939</v>
      </c>
      <c r="AB15" s="21">
        <f t="shared" si="9"/>
        <v>0</v>
      </c>
      <c r="AC15" s="21">
        <f t="shared" si="80"/>
        <v>0</v>
      </c>
      <c r="AD15" s="18">
        <f>LAT_FEC!$B195*$D$8/SUM($D$5:$D$8)</f>
        <v>11.713436351066637</v>
      </c>
      <c r="AE15" s="18">
        <f t="shared" si="10"/>
        <v>0</v>
      </c>
      <c r="AF15" s="18">
        <f t="shared" si="11"/>
        <v>11.713436351066637</v>
      </c>
      <c r="AG15" s="21">
        <f t="shared" si="12"/>
        <v>0</v>
      </c>
      <c r="AH15" s="21">
        <f t="shared" si="13"/>
        <v>5.4757133133948838E-2</v>
      </c>
      <c r="AI15" s="18">
        <f t="shared" si="14"/>
        <v>824.71667155683281</v>
      </c>
      <c r="AJ15" s="21">
        <f t="shared" si="15"/>
        <v>5.7314746278557385E-2</v>
      </c>
      <c r="AL15" s="21">
        <f t="shared" si="81"/>
        <v>0.20023241389490043</v>
      </c>
      <c r="AM15" s="18">
        <f>LAT_FEC!B142*$D$9/SUM($D$9:$D$13)</f>
        <v>10525.313563769145</v>
      </c>
      <c r="AN15" s="18">
        <f t="shared" si="16"/>
        <v>906.87970917070095</v>
      </c>
      <c r="AO15" s="18">
        <f t="shared" si="17"/>
        <v>9936.8871112530651</v>
      </c>
      <c r="AP15" s="21">
        <f t="shared" si="18"/>
        <v>9.126396415872548E-2</v>
      </c>
      <c r="AQ15" s="21">
        <f t="shared" si="82"/>
        <v>1</v>
      </c>
      <c r="AR15" s="18">
        <f>LAT_FEC!$B142*$D$10/SUM($D$9:$D$13)</f>
        <v>11.906243237213436</v>
      </c>
      <c r="AS15" s="18">
        <f t="shared" si="19"/>
        <v>11.906243237213436</v>
      </c>
      <c r="AT15" s="18">
        <f t="shared" si="20"/>
        <v>11.906243237213436</v>
      </c>
      <c r="AU15" s="21">
        <f t="shared" si="21"/>
        <v>1</v>
      </c>
      <c r="AV15" s="18">
        <f t="shared" si="83"/>
        <v>0.68679232649554622</v>
      </c>
      <c r="AW15" s="18">
        <f>LAT_FEC!$B142*$D$11/SUM($D$9:$D$13)</f>
        <v>2662.8913263723289</v>
      </c>
      <c r="AX15" s="18">
        <f t="shared" si="22"/>
        <v>1227.2246415369671</v>
      </c>
      <c r="AY15" s="18">
        <f t="shared" si="23"/>
        <v>2626.3964144820138</v>
      </c>
      <c r="AZ15" s="21">
        <f t="shared" si="24"/>
        <v>0.46726557909157218</v>
      </c>
      <c r="BA15" s="18">
        <f t="shared" si="84"/>
        <v>0.28439212309758538</v>
      </c>
      <c r="BB15" s="18">
        <f>LAT_FEC!$B142*$D$12/SUM($D$9:$D$13)</f>
        <v>898.25263093085778</v>
      </c>
      <c r="BC15" s="18">
        <f t="shared" si="25"/>
        <v>255.45597278841842</v>
      </c>
      <c r="BD15" s="18">
        <f t="shared" si="26"/>
        <v>898.25263093085778</v>
      </c>
      <c r="BE15" s="21">
        <f t="shared" si="27"/>
        <v>0.28439212309758538</v>
      </c>
      <c r="BF15" s="18">
        <f t="shared" si="85"/>
        <v>1</v>
      </c>
      <c r="BG15" s="18">
        <f>LAT_FEC!$B142*$D$13/SUM($D$9:$D$13)</f>
        <v>2071.3775020371754</v>
      </c>
      <c r="BH15" s="18">
        <f t="shared" si="28"/>
        <v>2071.3775020371754</v>
      </c>
      <c r="BI15" s="18">
        <f t="shared" si="29"/>
        <v>2071.3775020371754</v>
      </c>
      <c r="BJ15" s="21">
        <f t="shared" si="30"/>
        <v>1</v>
      </c>
      <c r="BK15" s="21">
        <f t="shared" si="31"/>
        <v>0.28773855837417384</v>
      </c>
      <c r="BL15" s="18">
        <f t="shared" si="32"/>
        <v>624.92136440639297</v>
      </c>
      <c r="BM15" s="21">
        <f t="shared" si="33"/>
        <v>3.8647579705372949E-2</v>
      </c>
      <c r="BO15" s="21">
        <f t="shared" si="86"/>
        <v>0.84467042935835646</v>
      </c>
      <c r="BP15" s="18">
        <f>LAT_FEC!$B89*$D$14/SUM($D$14:D$26)</f>
        <v>19.94821538279454</v>
      </c>
      <c r="BQ15" s="18">
        <f t="shared" si="34"/>
        <v>15.638390322465623</v>
      </c>
      <c r="BR15" s="18">
        <f t="shared" si="35"/>
        <v>19.952092513082604</v>
      </c>
      <c r="BS15" s="21">
        <f t="shared" si="36"/>
        <v>0.78379700335749336</v>
      </c>
      <c r="BT15" s="21">
        <f t="shared" si="87"/>
        <v>0.51554154163542132</v>
      </c>
      <c r="BU15" s="18">
        <f>LAT_FEC!$B89*$D$15/SUM($D$14:D$26)</f>
        <v>280.5093996088745</v>
      </c>
      <c r="BV15" s="18">
        <f t="shared" si="37"/>
        <v>104.72400424376268</v>
      </c>
      <c r="BW15" s="18">
        <f t="shared" si="38"/>
        <v>275.58005115526259</v>
      </c>
      <c r="BX15" s="21">
        <f t="shared" si="39"/>
        <v>0.3800130082157539</v>
      </c>
      <c r="BY15" s="21">
        <f t="shared" si="88"/>
        <v>0.64063599901122092</v>
      </c>
      <c r="BZ15" s="18">
        <f>LAT_FEC!$B89*$D$16/SUM($D$14:$D$26)</f>
        <v>25.906742601745108</v>
      </c>
      <c r="CA15" s="18">
        <f t="shared" si="40"/>
        <v>13.256144382944717</v>
      </c>
      <c r="CB15" s="18">
        <f t="shared" si="41"/>
        <v>25.317950194429152</v>
      </c>
      <c r="CC15" s="21">
        <f t="shared" si="42"/>
        <v>0.52358679439465594</v>
      </c>
      <c r="CD15" s="21">
        <f t="shared" si="89"/>
        <v>0.25744999398411272</v>
      </c>
      <c r="CE15" s="18">
        <f>LAT_FEC!$B89*$D$17/SUM($D$14:$D$26)</f>
        <v>2053.0179808164226</v>
      </c>
      <c r="CF15" s="18">
        <f t="shared" si="43"/>
        <v>375.25278338249848</v>
      </c>
      <c r="CG15" s="18">
        <f t="shared" si="44"/>
        <v>2033.9467146114162</v>
      </c>
      <c r="CH15" s="21">
        <f t="shared" si="45"/>
        <v>0.18449489393540489</v>
      </c>
      <c r="CI15" s="21">
        <f t="shared" si="90"/>
        <v>0.60832614454667566</v>
      </c>
      <c r="CJ15" s="18">
        <f>LAT_FEC!$B89*$D$18/SUM($D$14:$D$26)</f>
        <v>113.18136387401157</v>
      </c>
      <c r="CK15" s="18">
        <f t="shared" si="46"/>
        <v>50.372155074714982</v>
      </c>
      <c r="CL15" s="18">
        <f t="shared" si="47"/>
        <v>110.44306120054463</v>
      </c>
      <c r="CM15" s="21">
        <f t="shared" si="48"/>
        <v>0.45609162338635523</v>
      </c>
      <c r="CN15" s="21">
        <f t="shared" si="91"/>
        <v>0.63343055585968233</v>
      </c>
      <c r="CO15" s="18">
        <f>LAT_FEC!$B89*$D$19/SUM($D$16:Y$28)</f>
        <v>5.7627631884157511</v>
      </c>
      <c r="CP15" s="18">
        <f t="shared" si="49"/>
        <v>2.7056858952928824</v>
      </c>
      <c r="CQ15" s="18">
        <f t="shared" si="50"/>
        <v>5.59994391793294</v>
      </c>
      <c r="CR15" s="21">
        <f t="shared" si="51"/>
        <v>0.48316303429903085</v>
      </c>
      <c r="CS15" s="18">
        <f t="shared" si="92"/>
        <v>0.28771086797933665</v>
      </c>
      <c r="CT15" s="18">
        <f>LAT_FEC!$B89*$D$20/SUM($D$14:$D$26)</f>
        <v>188.10153189590545</v>
      </c>
      <c r="CU15" s="18">
        <f t="shared" si="52"/>
        <v>22.06790297763531</v>
      </c>
      <c r="CV15" s="18">
        <f t="shared" si="53"/>
        <v>175.24667856012033</v>
      </c>
      <c r="CW15" s="21">
        <f t="shared" si="54"/>
        <v>0.12592480016712368</v>
      </c>
      <c r="CX15" s="21">
        <f t="shared" si="93"/>
        <v>0.59321528927491263</v>
      </c>
      <c r="CY15" s="18">
        <f>LAT_FEC!$B89*$D$21/SUM($D$14:$D$26)</f>
        <v>984.31710010655229</v>
      </c>
      <c r="CZ15" s="18">
        <f t="shared" si="55"/>
        <v>350.80750686874359</v>
      </c>
      <c r="DA15" s="18">
        <f t="shared" si="56"/>
        <v>952.20438917186607</v>
      </c>
      <c r="DB15" s="21">
        <f t="shared" si="57"/>
        <v>0.36841618339298093</v>
      </c>
      <c r="DC15" s="21">
        <f t="shared" si="94"/>
        <v>0.66895767423562802</v>
      </c>
      <c r="DD15" s="18">
        <f>LAT_FEC!$B89*$D$22/SUM($D$14:$D$26)</f>
        <v>72.485589726062287</v>
      </c>
      <c r="DE15" s="18">
        <f t="shared" si="58"/>
        <v>31.220479020598134</v>
      </c>
      <c r="DF15" s="18">
        <f t="shared" si="59"/>
        <v>69.845119952724474</v>
      </c>
      <c r="DG15" s="21">
        <f t="shared" si="60"/>
        <v>0.44699585370789108</v>
      </c>
      <c r="DH15" s="21">
        <f t="shared" si="95"/>
        <v>0.28639081082699425</v>
      </c>
      <c r="DI15" s="18">
        <f>LAT_FEC!$B89*$D$23/SUM($D$14:$D$26)</f>
        <v>7843.7443960434448</v>
      </c>
      <c r="DJ15" s="18">
        <f t="shared" si="61"/>
        <v>1054.9206147396619</v>
      </c>
      <c r="DK15" s="18">
        <f t="shared" si="62"/>
        <v>7626.3696283483623</v>
      </c>
      <c r="DL15" s="21">
        <f t="shared" si="63"/>
        <v>0.13832539807910221</v>
      </c>
      <c r="DM15" s="21">
        <f t="shared" si="96"/>
        <v>0.38410923736170843</v>
      </c>
      <c r="DN15" s="18">
        <f>LAT_FEC!$B89*$D$24/SUM($D$14:$D$26)</f>
        <v>423.33013314739287</v>
      </c>
      <c r="DO15" s="18">
        <f t="shared" si="64"/>
        <v>74.776172708018137</v>
      </c>
      <c r="DP15" s="18">
        <f t="shared" si="65"/>
        <v>410.93896978816349</v>
      </c>
      <c r="DQ15" s="21">
        <f t="shared" si="66"/>
        <v>0.18196418009848225</v>
      </c>
      <c r="DR15" s="21">
        <f t="shared" si="97"/>
        <v>0.5667119441497408</v>
      </c>
      <c r="DS15" s="18">
        <f>LAT_FEC!$B89*$D$25/SUM($D$14:$D$26)</f>
        <v>77.89825265882881</v>
      </c>
      <c r="DT15" s="18">
        <f t="shared" si="67"/>
        <v>25.5425079928565</v>
      </c>
      <c r="DU15" s="18">
        <f t="shared" si="68"/>
        <v>74.364770096265715</v>
      </c>
      <c r="DV15" s="21">
        <f t="shared" si="69"/>
        <v>0.34347592226522777</v>
      </c>
      <c r="DW15" s="21">
        <f t="shared" si="98"/>
        <v>0.55747026540976719</v>
      </c>
      <c r="DX15" s="18">
        <f>LAT_FEC!$B89*$D$26/SUM($D$14:$D$26)</f>
        <v>365.02522513671192</v>
      </c>
      <c r="DY15" s="18">
        <f t="shared" si="70"/>
        <v>134.06434412080893</v>
      </c>
      <c r="DZ15" s="18">
        <f t="shared" si="71"/>
        <v>355.95238723091222</v>
      </c>
      <c r="EA15" s="21">
        <f t="shared" si="72"/>
        <v>0.37663560894687625</v>
      </c>
      <c r="EB15" s="21">
        <f t="shared" si="73"/>
        <v>0.18584319113525918</v>
      </c>
      <c r="EC15" s="18">
        <f t="shared" si="74"/>
        <v>317.46693744607546</v>
      </c>
      <c r="ED15" s="21">
        <f t="shared" si="75"/>
        <v>2.5492741299632655E-2</v>
      </c>
    </row>
    <row r="16" spans="1:136" ht="19.5" customHeight="1" thickBot="1" x14ac:dyDescent="0.4">
      <c r="A16" s="77"/>
      <c r="B16" s="31" t="s">
        <v>34</v>
      </c>
      <c r="C16" s="34">
        <v>10.441000000000001</v>
      </c>
      <c r="D16" s="34">
        <v>21.974</v>
      </c>
      <c r="E16" s="21">
        <f t="shared" si="0"/>
        <v>0.47515245289888053</v>
      </c>
      <c r="F16" s="21">
        <f t="shared" si="101"/>
        <v>0.59489442532705683</v>
      </c>
      <c r="G16" s="55">
        <v>0.94</v>
      </c>
      <c r="H16" s="23" t="s">
        <v>200</v>
      </c>
      <c r="I16" s="23" t="s">
        <v>181</v>
      </c>
      <c r="J16" s="56">
        <f>'Efficiency Assumptions'!G45</f>
        <v>1.6220785298610838</v>
      </c>
      <c r="K16" s="84"/>
      <c r="L16" s="58">
        <f t="shared" si="100"/>
        <v>0.96213922988171541</v>
      </c>
      <c r="M16" s="47">
        <f t="shared" si="76"/>
        <v>2033</v>
      </c>
      <c r="N16" s="21">
        <f t="shared" si="77"/>
        <v>0.54400059265111178</v>
      </c>
      <c r="O16" s="18">
        <f>LAT_FEC!B196*D$5/SUM(D$5:D$8)</f>
        <v>324.00485652219328</v>
      </c>
      <c r="P16" s="18">
        <f t="shared" si="1"/>
        <v>123.50492634710353</v>
      </c>
      <c r="Q16" s="18">
        <f t="shared" si="2"/>
        <v>331.41072502863108</v>
      </c>
      <c r="R16" s="21">
        <f t="shared" si="3"/>
        <v>0.37266424113593111</v>
      </c>
      <c r="S16" s="21">
        <f t="shared" si="78"/>
        <v>0.13895385226634918</v>
      </c>
      <c r="T16" s="18">
        <f>LAT_FEC!B196*D$6/SUM(D$5:D$8)</f>
        <v>14099.586612089106</v>
      </c>
      <c r="U16" s="18">
        <f t="shared" si="4"/>
        <v>789.36014307527182</v>
      </c>
      <c r="V16" s="18">
        <f t="shared" si="5"/>
        <v>13015.265559521604</v>
      </c>
      <c r="W16" s="21">
        <f t="shared" si="6"/>
        <v>6.06487927169337E-2</v>
      </c>
      <c r="X16" s="21">
        <f t="shared" si="79"/>
        <v>0</v>
      </c>
      <c r="Y16" s="18">
        <f>LAT_FEC!$B196*$D$7/SUM($D$5:$D$8)</f>
        <v>11.047694699878605</v>
      </c>
      <c r="Z16" s="18">
        <f t="shared" si="7"/>
        <v>0</v>
      </c>
      <c r="AA16" s="18">
        <f t="shared" si="8"/>
        <v>11.047694699878605</v>
      </c>
      <c r="AB16" s="21">
        <f t="shared" si="9"/>
        <v>0</v>
      </c>
      <c r="AC16" s="21">
        <f t="shared" si="80"/>
        <v>0</v>
      </c>
      <c r="AD16" s="18">
        <f>LAT_FEC!$B196*$D$8/SUM($D$5:$D$8)</f>
        <v>11.759951520980984</v>
      </c>
      <c r="AE16" s="18">
        <f t="shared" si="10"/>
        <v>0</v>
      </c>
      <c r="AF16" s="18">
        <f t="shared" si="11"/>
        <v>11.759951520980984</v>
      </c>
      <c r="AG16" s="21">
        <f t="shared" si="12"/>
        <v>0</v>
      </c>
      <c r="AH16" s="21">
        <f t="shared" si="13"/>
        <v>6.8279753665085957E-2</v>
      </c>
      <c r="AI16" s="18">
        <f t="shared" si="14"/>
        <v>1076.9151840610648</v>
      </c>
      <c r="AJ16" s="21">
        <f t="shared" si="15"/>
        <v>7.4545578832540552E-2</v>
      </c>
      <c r="AL16" s="21">
        <f t="shared" si="81"/>
        <v>0.22454559590866946</v>
      </c>
      <c r="AM16" s="18">
        <f>LAT_FEC!B143*$D$9/SUM($D$9:$D$13)</f>
        <v>10317.307860538218</v>
      </c>
      <c r="AN16" s="18">
        <f t="shared" si="16"/>
        <v>996.89906865997978</v>
      </c>
      <c r="AO16" s="18">
        <f t="shared" si="17"/>
        <v>9579.3617047195221</v>
      </c>
      <c r="AP16" s="21">
        <f t="shared" si="18"/>
        <v>0.10406737937130316</v>
      </c>
      <c r="AQ16" s="21">
        <f t="shared" si="82"/>
        <v>1</v>
      </c>
      <c r="AR16" s="18">
        <f>LAT_FEC!$B143*$D$10/SUM($D$9:$D$13)</f>
        <v>11.670947017068505</v>
      </c>
      <c r="AS16" s="18">
        <f t="shared" si="19"/>
        <v>11.670947017068505</v>
      </c>
      <c r="AT16" s="18">
        <f t="shared" si="20"/>
        <v>11.670947017068505</v>
      </c>
      <c r="AU16" s="21">
        <f t="shared" si="21"/>
        <v>1</v>
      </c>
      <c r="AV16" s="18">
        <f t="shared" si="83"/>
        <v>0.69078846746778177</v>
      </c>
      <c r="AW16" s="18">
        <f>LAT_FEC!$B143*$D$11/SUM($D$9:$D$13)</f>
        <v>2610.2661404703836</v>
      </c>
      <c r="AX16" s="18">
        <f t="shared" si="22"/>
        <v>1209.9712691796456</v>
      </c>
      <c r="AY16" s="18">
        <f t="shared" si="23"/>
        <v>2563.9931155288718</v>
      </c>
      <c r="AZ16" s="21">
        <f t="shared" si="24"/>
        <v>0.47190893838654718</v>
      </c>
      <c r="BA16" s="18">
        <f t="shared" si="84"/>
        <v>0.31427340642600499</v>
      </c>
      <c r="BB16" s="18">
        <f>LAT_FEC!$B143*$D$12/SUM($D$9:$D$13)</f>
        <v>880.50098210407486</v>
      </c>
      <c r="BC16" s="18">
        <f t="shared" si="25"/>
        <v>276.71804300729048</v>
      </c>
      <c r="BD16" s="18">
        <f t="shared" si="26"/>
        <v>880.50098210407486</v>
      </c>
      <c r="BE16" s="21">
        <f t="shared" si="27"/>
        <v>0.31427340642600499</v>
      </c>
      <c r="BF16" s="18">
        <f t="shared" si="85"/>
        <v>1</v>
      </c>
      <c r="BG16" s="18">
        <f>LAT_FEC!$B143*$D$13/SUM($D$9:$D$13)</f>
        <v>2030.4420627880215</v>
      </c>
      <c r="BH16" s="18">
        <f t="shared" si="28"/>
        <v>2030.4420627880215</v>
      </c>
      <c r="BI16" s="18">
        <f t="shared" si="29"/>
        <v>2030.4420627880215</v>
      </c>
      <c r="BJ16" s="21">
        <f t="shared" si="30"/>
        <v>1</v>
      </c>
      <c r="BK16" s="21">
        <f t="shared" si="31"/>
        <v>0.30039232438872221</v>
      </c>
      <c r="BL16" s="18">
        <f t="shared" si="32"/>
        <v>784.21918076020665</v>
      </c>
      <c r="BM16" s="21">
        <f t="shared" si="33"/>
        <v>4.9476964002610833E-2</v>
      </c>
      <c r="BO16" s="21">
        <f t="shared" si="86"/>
        <v>0.84454750611640184</v>
      </c>
      <c r="BP16" s="18">
        <f>LAT_FEC!$B90*$D$14/SUM($D$14:D$26)</f>
        <v>20.118273248910157</v>
      </c>
      <c r="BQ16" s="18">
        <f t="shared" si="34"/>
        <v>15.769411848897445</v>
      </c>
      <c r="BR16" s="18">
        <f t="shared" si="35"/>
        <v>20.12333104450537</v>
      </c>
      <c r="BS16" s="21">
        <f t="shared" si="36"/>
        <v>0.78363824627350875</v>
      </c>
      <c r="BT16" s="21">
        <f t="shared" si="87"/>
        <v>0.52521606517588948</v>
      </c>
      <c r="BU16" s="18">
        <f>LAT_FEC!$B90*$D$15/SUM($D$14:D$26)</f>
        <v>282.90073281876158</v>
      </c>
      <c r="BV16" s="18">
        <f t="shared" si="37"/>
        <v>107.59875078820551</v>
      </c>
      <c r="BW16" s="18">
        <f t="shared" si="38"/>
        <v>276.4702971502187</v>
      </c>
      <c r="BX16" s="21">
        <f t="shared" si="39"/>
        <v>0.3891873806962427</v>
      </c>
      <c r="BY16" s="21">
        <f t="shared" si="88"/>
        <v>0.6540608500263162</v>
      </c>
      <c r="BZ16" s="18">
        <f>LAT_FEC!$B90*$D$16/SUM($D$14:$D$26)</f>
        <v>26.127596712266648</v>
      </c>
      <c r="CA16" s="18">
        <f t="shared" si="40"/>
        <v>13.649309914866466</v>
      </c>
      <c r="CB16" s="18">
        <f t="shared" si="41"/>
        <v>25.359504999334995</v>
      </c>
      <c r="CC16" s="21">
        <f t="shared" si="42"/>
        <v>0.53823250553291135</v>
      </c>
      <c r="CD16" s="21">
        <f t="shared" si="89"/>
        <v>0.2646610897733383</v>
      </c>
      <c r="CE16" s="18">
        <f>LAT_FEC!$B90*$D$17/SUM($D$14:$D$26)</f>
        <v>2070.5198901459034</v>
      </c>
      <c r="CF16" s="18">
        <f t="shared" si="43"/>
        <v>389.05212023877272</v>
      </c>
      <c r="CG16" s="18">
        <f t="shared" si="44"/>
        <v>2045.6410341260798</v>
      </c>
      <c r="CH16" s="21">
        <f t="shared" si="45"/>
        <v>0.19018591910724944</v>
      </c>
      <c r="CI16" s="21">
        <f t="shared" si="90"/>
        <v>0.61971524194368743</v>
      </c>
      <c r="CJ16" s="18">
        <f>LAT_FEC!$B90*$D$18/SUM($D$14:$D$26)</f>
        <v>114.14623119949023</v>
      </c>
      <c r="CK16" s="18">
        <f t="shared" si="46"/>
        <v>51.752684390064353</v>
      </c>
      <c r="CL16" s="18">
        <f t="shared" si="47"/>
        <v>110.57405947163728</v>
      </c>
      <c r="CM16" s="21">
        <f t="shared" si="48"/>
        <v>0.46803639693936655</v>
      </c>
      <c r="CN16" s="21">
        <f t="shared" si="91"/>
        <v>0.64661648223710522</v>
      </c>
      <c r="CO16" s="18">
        <f>LAT_FEC!$B90*$D$19/SUM($D$16:Y$28)</f>
        <v>5.811890551036714</v>
      </c>
      <c r="CP16" s="18">
        <f t="shared" si="49"/>
        <v>2.7855553515804399</v>
      </c>
      <c r="CQ16" s="18">
        <f t="shared" si="50"/>
        <v>5.5994894894579517</v>
      </c>
      <c r="CR16" s="21">
        <f t="shared" si="51"/>
        <v>0.49746594878421507</v>
      </c>
      <c r="CS16" s="18">
        <f t="shared" si="92"/>
        <v>0.31498099550382924</v>
      </c>
      <c r="CT16" s="18">
        <f>LAT_FEC!$B90*$D$20/SUM($D$14:$D$26)</f>
        <v>189.70509113734445</v>
      </c>
      <c r="CU16" s="18">
        <f t="shared" si="52"/>
        <v>24.365526697014406</v>
      </c>
      <c r="CV16" s="18">
        <f t="shared" si="53"/>
        <v>172.93567258594331</v>
      </c>
      <c r="CW16" s="21">
        <f t="shared" si="54"/>
        <v>0.14089358391285953</v>
      </c>
      <c r="CX16" s="21">
        <f t="shared" si="93"/>
        <v>0.60384025508896411</v>
      </c>
      <c r="CY16" s="18">
        <f>LAT_FEC!$B90*$D$21/SUM($D$14:$D$26)</f>
        <v>992.70837032361669</v>
      </c>
      <c r="CZ16" s="18">
        <f t="shared" si="55"/>
        <v>360.13493983930596</v>
      </c>
      <c r="DA16" s="18">
        <f t="shared" si="56"/>
        <v>950.81668347062009</v>
      </c>
      <c r="DB16" s="21">
        <f t="shared" si="57"/>
        <v>0.37876379968929519</v>
      </c>
      <c r="DC16" s="21">
        <f t="shared" si="94"/>
        <v>0.68002766840475859</v>
      </c>
      <c r="DD16" s="18">
        <f>LAT_FEC!$B90*$D$22/SUM($D$14:$D$26)</f>
        <v>73.103526943823525</v>
      </c>
      <c r="DE16" s="18">
        <f t="shared" si="58"/>
        <v>32.00767723784022</v>
      </c>
      <c r="DF16" s="18">
        <f t="shared" si="59"/>
        <v>69.658980231014155</v>
      </c>
      <c r="DG16" s="21">
        <f t="shared" si="60"/>
        <v>0.45949103951409115</v>
      </c>
      <c r="DH16" s="21">
        <f t="shared" si="95"/>
        <v>0.29793744866987731</v>
      </c>
      <c r="DI16" s="18">
        <f>LAT_FEC!$B90*$D$23/SUM($D$14:$D$26)</f>
        <v>7910.6120535632217</v>
      </c>
      <c r="DJ16" s="18">
        <f t="shared" si="61"/>
        <v>1106.8084048224871</v>
      </c>
      <c r="DK16" s="18">
        <f t="shared" si="62"/>
        <v>7627.042232362317</v>
      </c>
      <c r="DL16" s="21">
        <f t="shared" si="63"/>
        <v>0.14511633358029491</v>
      </c>
      <c r="DM16" s="21">
        <f t="shared" si="96"/>
        <v>0.39446610540243809</v>
      </c>
      <c r="DN16" s="18">
        <f>LAT_FEC!$B90*$D$24/SUM($D$14:$D$26)</f>
        <v>426.93900831361839</v>
      </c>
      <c r="DO16" s="18">
        <f t="shared" si="64"/>
        <v>77.447040620726114</v>
      </c>
      <c r="DP16" s="18">
        <f t="shared" si="65"/>
        <v>410.77448280081046</v>
      </c>
      <c r="DQ16" s="21">
        <f t="shared" si="66"/>
        <v>0.18853907402588374</v>
      </c>
      <c r="DR16" s="21">
        <f t="shared" si="97"/>
        <v>0.58205136257820511</v>
      </c>
      <c r="DS16" s="18">
        <f>LAT_FEC!$B90*$D$25/SUM($D$14:$D$26)</f>
        <v>78.562332646290798</v>
      </c>
      <c r="DT16" s="18">
        <f t="shared" si="67"/>
        <v>26.457520175922429</v>
      </c>
      <c r="DU16" s="18">
        <f t="shared" si="68"/>
        <v>73.952832523038012</v>
      </c>
      <c r="DV16" s="21">
        <f t="shared" si="69"/>
        <v>0.35776209339487169</v>
      </c>
      <c r="DW16" s="21">
        <f t="shared" si="98"/>
        <v>0.56767571435359609</v>
      </c>
      <c r="DX16" s="18">
        <f>LAT_FEC!$B90*$D$26/SUM($D$14:$D$26)</f>
        <v>368.13705292049758</v>
      </c>
      <c r="DY16" s="18">
        <f t="shared" si="70"/>
        <v>137.68243844718035</v>
      </c>
      <c r="DZ16" s="18">
        <f t="shared" si="71"/>
        <v>356.30135069059878</v>
      </c>
      <c r="EA16" s="21">
        <f t="shared" si="72"/>
        <v>0.38642132054879458</v>
      </c>
      <c r="EB16" s="21">
        <f t="shared" si="73"/>
        <v>0.19312170518073632</v>
      </c>
      <c r="EC16" s="18">
        <f t="shared" si="74"/>
        <v>414.1420995792032</v>
      </c>
      <c r="ED16" s="21">
        <f t="shared" si="75"/>
        <v>3.2974693194795103E-2</v>
      </c>
    </row>
    <row r="17" spans="1:134" ht="19.5" customHeight="1" thickBot="1" x14ac:dyDescent="0.4">
      <c r="A17" s="77"/>
      <c r="B17" s="31" t="s">
        <v>164</v>
      </c>
      <c r="C17" s="34">
        <v>287.91199999999998</v>
      </c>
      <c r="D17" s="34">
        <v>1741.3620000000001</v>
      </c>
      <c r="E17" s="21">
        <f t="shared" si="0"/>
        <v>0.16533724751085643</v>
      </c>
      <c r="F17" s="21">
        <f t="shared" si="101"/>
        <v>0.23288012210877188</v>
      </c>
      <c r="G17" s="55">
        <v>0.33</v>
      </c>
      <c r="H17" s="23" t="s">
        <v>200</v>
      </c>
      <c r="I17" s="23" t="s">
        <v>182</v>
      </c>
      <c r="J17" s="56">
        <f>'Efficiency Assumptions'!G46</f>
        <v>1.5325318657225151</v>
      </c>
      <c r="K17" s="84"/>
      <c r="L17" s="58">
        <f t="shared" si="100"/>
        <v>0.43014394729099087</v>
      </c>
      <c r="M17" s="47">
        <f t="shared" si="76"/>
        <v>2034</v>
      </c>
      <c r="N17" s="21">
        <f t="shared" si="77"/>
        <v>0.5629959553694569</v>
      </c>
      <c r="O17" s="18">
        <f>LAT_FEC!B197*D$5/SUM(D$5:D$8)</f>
        <v>325.38922704432775</v>
      </c>
      <c r="P17" s="18">
        <f t="shared" si="1"/>
        <v>128.36358369701887</v>
      </c>
      <c r="Q17" s="18">
        <f t="shared" si="2"/>
        <v>328.46005550756126</v>
      </c>
      <c r="R17" s="21">
        <f t="shared" si="3"/>
        <v>0.39080424406146363</v>
      </c>
      <c r="S17" s="21">
        <f t="shared" si="78"/>
        <v>0.17422585297914653</v>
      </c>
      <c r="T17" s="18">
        <f>LAT_FEC!B197*D$6/SUM(D$5:D$8)</f>
        <v>14159.829696990893</v>
      </c>
      <c r="U17" s="18">
        <f t="shared" si="4"/>
        <v>993.95987389109132</v>
      </c>
      <c r="V17" s="18">
        <f t="shared" si="5"/>
        <v>12769.139366816849</v>
      </c>
      <c r="W17" s="21">
        <f t="shared" si="6"/>
        <v>7.7840788273804418E-2</v>
      </c>
      <c r="X17" s="21">
        <f t="shared" si="79"/>
        <v>0</v>
      </c>
      <c r="Y17" s="18">
        <f>LAT_FEC!$B197*$D$7/SUM($D$5:$D$8)</f>
        <v>11.09489801357031</v>
      </c>
      <c r="Z17" s="18">
        <f t="shared" si="7"/>
        <v>0</v>
      </c>
      <c r="AA17" s="18">
        <f t="shared" si="8"/>
        <v>11.09489801357031</v>
      </c>
      <c r="AB17" s="21">
        <f t="shared" si="9"/>
        <v>0</v>
      </c>
      <c r="AC17" s="21">
        <f t="shared" si="80"/>
        <v>0</v>
      </c>
      <c r="AD17" s="18">
        <f>LAT_FEC!$B197*$D$8/SUM($D$5:$D$8)</f>
        <v>11.810198083338488</v>
      </c>
      <c r="AE17" s="18">
        <f t="shared" si="10"/>
        <v>0</v>
      </c>
      <c r="AF17" s="18">
        <f t="shared" si="11"/>
        <v>11.810198083338488</v>
      </c>
      <c r="AG17" s="21">
        <f t="shared" si="12"/>
        <v>0</v>
      </c>
      <c r="AH17" s="21">
        <f t="shared" si="13"/>
        <v>8.5539657107876976E-2</v>
      </c>
      <c r="AI17" s="18">
        <f t="shared" si="14"/>
        <v>1387.6195017108112</v>
      </c>
      <c r="AJ17" s="21">
        <f t="shared" si="15"/>
        <v>9.5644309339049452E-2</v>
      </c>
      <c r="AL17" s="21">
        <f t="shared" si="81"/>
        <v>0.254316489071091</v>
      </c>
      <c r="AM17" s="18">
        <f>LAT_FEC!B144*$D$9/SUM($D$9:$D$13)</f>
        <v>10116.450887500328</v>
      </c>
      <c r="AN17" s="18">
        <f t="shared" si="16"/>
        <v>1107.0900711651805</v>
      </c>
      <c r="AO17" s="18">
        <f t="shared" si="17"/>
        <v>9199.3902088458617</v>
      </c>
      <c r="AP17" s="21">
        <f t="shared" si="18"/>
        <v>0.12034385388942795</v>
      </c>
      <c r="AQ17" s="21">
        <f t="shared" si="82"/>
        <v>1</v>
      </c>
      <c r="AR17" s="18">
        <f>LAT_FEC!$B144*$D$10/SUM($D$9:$D$13)</f>
        <v>11.443737446314097</v>
      </c>
      <c r="AS17" s="18">
        <f t="shared" si="19"/>
        <v>11.443737446314097</v>
      </c>
      <c r="AT17" s="18">
        <f t="shared" si="20"/>
        <v>11.443737446314097</v>
      </c>
      <c r="AU17" s="21">
        <f t="shared" si="21"/>
        <v>1</v>
      </c>
      <c r="AV17" s="18">
        <f t="shared" si="83"/>
        <v>0.69568164376527442</v>
      </c>
      <c r="AW17" s="18">
        <f>LAT_FEC!$B144*$D$11/SUM($D$9:$D$13)</f>
        <v>2559.4495744741816</v>
      </c>
      <c r="AX17" s="18">
        <f t="shared" si="22"/>
        <v>1194.8195266070791</v>
      </c>
      <c r="AY17" s="18">
        <f t="shared" si="23"/>
        <v>2501.4714901627722</v>
      </c>
      <c r="AZ17" s="21">
        <f t="shared" si="24"/>
        <v>0.47764666969253822</v>
      </c>
      <c r="BA17" s="18">
        <f t="shared" si="84"/>
        <v>0.35086230264792423</v>
      </c>
      <c r="BB17" s="18">
        <f>LAT_FEC!$B144*$D$12/SUM($D$9:$D$13)</f>
        <v>863.35942110648659</v>
      </c>
      <c r="BC17" s="18">
        <f t="shared" si="25"/>
        <v>302.92027450220075</v>
      </c>
      <c r="BD17" s="18">
        <f t="shared" si="26"/>
        <v>863.35942110648648</v>
      </c>
      <c r="BE17" s="21">
        <f t="shared" si="27"/>
        <v>0.35086230264792428</v>
      </c>
      <c r="BF17" s="18">
        <f t="shared" si="85"/>
        <v>1</v>
      </c>
      <c r="BG17" s="18">
        <f>LAT_FEC!$B144*$D$13/SUM($D$9:$D$13)</f>
        <v>1990.9134907832763</v>
      </c>
      <c r="BH17" s="18">
        <f t="shared" si="28"/>
        <v>1990.9134907832763</v>
      </c>
      <c r="BI17" s="18">
        <f t="shared" si="29"/>
        <v>1990.9134907832763</v>
      </c>
      <c r="BJ17" s="21">
        <f t="shared" si="30"/>
        <v>1</v>
      </c>
      <c r="BK17" s="21">
        <f t="shared" si="31"/>
        <v>0.31628478495964657</v>
      </c>
      <c r="BL17" s="18">
        <f t="shared" si="32"/>
        <v>975.03876296587623</v>
      </c>
      <c r="BM17" s="21">
        <f t="shared" si="33"/>
        <v>6.2737278623102924E-2</v>
      </c>
      <c r="BO17" s="21">
        <f t="shared" si="86"/>
        <v>0.84439698963109211</v>
      </c>
      <c r="BP17" s="18">
        <f>LAT_FEC!$B91*$D$14/SUM($D$14:D$26)</f>
        <v>20.295875830950738</v>
      </c>
      <c r="BQ17" s="18">
        <f t="shared" si="34"/>
        <v>15.905787756199093</v>
      </c>
      <c r="BR17" s="18">
        <f t="shared" si="35"/>
        <v>20.302395905349634</v>
      </c>
      <c r="BS17" s="21">
        <f t="shared" si="36"/>
        <v>0.78344387678933769</v>
      </c>
      <c r="BT17" s="21">
        <f t="shared" si="87"/>
        <v>0.53706228121447719</v>
      </c>
      <c r="BU17" s="18">
        <f>LAT_FEC!$B91*$D$15/SUM($D$14:D$26)</f>
        <v>285.39815891433898</v>
      </c>
      <c r="BV17" s="18">
        <f t="shared" si="37"/>
        <v>110.99693189916043</v>
      </c>
      <c r="BW17" s="18">
        <f t="shared" si="38"/>
        <v>277.10859517319085</v>
      </c>
      <c r="BX17" s="21">
        <f t="shared" si="39"/>
        <v>0.40055391219383923</v>
      </c>
      <c r="BY17" s="21">
        <f t="shared" si="88"/>
        <v>0.6704992497826906</v>
      </c>
      <c r="BZ17" s="18">
        <f>LAT_FEC!$B91*$D$16/SUM($D$14:$D$26)</f>
        <v>26.35824914357633</v>
      </c>
      <c r="CA17" s="18">
        <f t="shared" si="40"/>
        <v>14.115879141296967</v>
      </c>
      <c r="CB17" s="18">
        <f t="shared" si="41"/>
        <v>25.368091471283293</v>
      </c>
      <c r="CC17" s="21">
        <f t="shared" si="42"/>
        <v>0.55644229906992237</v>
      </c>
      <c r="CD17" s="21">
        <f t="shared" si="89"/>
        <v>0.27349089914191238</v>
      </c>
      <c r="CE17" s="18">
        <f>LAT_FEC!$B91*$D$17/SUM($D$14:$D$26)</f>
        <v>2088.7982818401915</v>
      </c>
      <c r="CF17" s="18">
        <f t="shared" si="43"/>
        <v>405.58105803056009</v>
      </c>
      <c r="CG17" s="18">
        <f t="shared" si="44"/>
        <v>2056.726603743472</v>
      </c>
      <c r="CH17" s="21">
        <f t="shared" si="45"/>
        <v>0.19719736074418315</v>
      </c>
      <c r="CI17" s="21">
        <f t="shared" si="90"/>
        <v>0.63366091148339765</v>
      </c>
      <c r="CJ17" s="18">
        <f>LAT_FEC!$B91*$D$18/SUM($D$14:$D$26)</f>
        <v>115.15390542383396</v>
      </c>
      <c r="CK17" s="18">
        <f t="shared" si="46"/>
        <v>53.384443035258592</v>
      </c>
      <c r="CL17" s="18">
        <f t="shared" si="47"/>
        <v>110.54896934194109</v>
      </c>
      <c r="CM17" s="21">
        <f t="shared" si="48"/>
        <v>0.4829031274831172</v>
      </c>
      <c r="CN17" s="21">
        <f t="shared" si="91"/>
        <v>0.66276232465326879</v>
      </c>
      <c r="CO17" s="18">
        <f>LAT_FEC!$B91*$D$19/SUM($D$16:Y$28)</f>
        <v>5.8631974776119007</v>
      </c>
      <c r="CP17" s="18">
        <f t="shared" si="49"/>
        <v>2.8803146241802513</v>
      </c>
      <c r="CQ17" s="18">
        <f t="shared" si="50"/>
        <v>5.5893883254174508</v>
      </c>
      <c r="CR17" s="21">
        <f t="shared" si="51"/>
        <v>0.51531839558940129</v>
      </c>
      <c r="CS17" s="18">
        <f t="shared" si="92"/>
        <v>0.34837259568999623</v>
      </c>
      <c r="CT17" s="18">
        <f>LAT_FEC!$B91*$D$20/SUM($D$14:$D$26)</f>
        <v>191.37979321517125</v>
      </c>
      <c r="CU17" s="18">
        <f t="shared" si="52"/>
        <v>27.186451904337432</v>
      </c>
      <c r="CV17" s="18">
        <f t="shared" si="53"/>
        <v>169.76210334948121</v>
      </c>
      <c r="CW17" s="21">
        <f t="shared" si="54"/>
        <v>0.16014441013592987</v>
      </c>
      <c r="CX17" s="21">
        <f t="shared" si="93"/>
        <v>0.61685026430640721</v>
      </c>
      <c r="CY17" s="18">
        <f>LAT_FEC!$B91*$D$21/SUM($D$14:$D$26)</f>
        <v>1001.471924113817</v>
      </c>
      <c r="CZ17" s="18">
        <f t="shared" si="55"/>
        <v>371.14195071694053</v>
      </c>
      <c r="DA17" s="18">
        <f t="shared" si="56"/>
        <v>947.46877000547022</v>
      </c>
      <c r="DB17" s="21">
        <f t="shared" si="57"/>
        <v>0.3917194555286479</v>
      </c>
      <c r="DC17" s="21">
        <f t="shared" si="94"/>
        <v>0.69358260389330051</v>
      </c>
      <c r="DD17" s="18">
        <f>LAT_FEC!$B91*$D$22/SUM($D$14:$D$26)</f>
        <v>73.748879304876667</v>
      </c>
      <c r="DE17" s="18">
        <f t="shared" si="58"/>
        <v>32.933877236756715</v>
      </c>
      <c r="DF17" s="18">
        <f t="shared" si="59"/>
        <v>69.30846639865976</v>
      </c>
      <c r="DG17" s="21">
        <f t="shared" si="60"/>
        <v>0.47517827111225142</v>
      </c>
      <c r="DH17" s="21">
        <f t="shared" si="95"/>
        <v>0.31207602260935474</v>
      </c>
      <c r="DI17" s="18">
        <f>LAT_FEC!$B91*$D$23/SUM($D$14:$D$26)</f>
        <v>7980.4463335161645</v>
      </c>
      <c r="DJ17" s="18">
        <f t="shared" si="61"/>
        <v>1169.5663134222334</v>
      </c>
      <c r="DK17" s="18">
        <f t="shared" si="62"/>
        <v>7614.8925469492424</v>
      </c>
      <c r="DL17" s="21">
        <f t="shared" si="63"/>
        <v>0.15358933907620237</v>
      </c>
      <c r="DM17" s="21">
        <f t="shared" si="96"/>
        <v>0.4071478354928576</v>
      </c>
      <c r="DN17" s="18">
        <f>LAT_FEC!$B91*$D$24/SUM($D$14:$D$26)</f>
        <v>430.70799332103951</v>
      </c>
      <c r="DO17" s="18">
        <f t="shared" si="64"/>
        <v>80.642570036849492</v>
      </c>
      <c r="DP17" s="18">
        <f t="shared" si="65"/>
        <v>409.87007945474636</v>
      </c>
      <c r="DQ17" s="21">
        <f t="shared" si="66"/>
        <v>0.19675154171811951</v>
      </c>
      <c r="DR17" s="21">
        <f t="shared" si="97"/>
        <v>0.60083410302529572</v>
      </c>
      <c r="DS17" s="18">
        <f>LAT_FEC!$B91*$D$25/SUM($D$14:$D$26)</f>
        <v>79.255874927801884</v>
      </c>
      <c r="DT17" s="18">
        <f t="shared" si="67"/>
        <v>27.552403849170741</v>
      </c>
      <c r="DU17" s="18">
        <f t="shared" si="68"/>
        <v>73.313704434835515</v>
      </c>
      <c r="DV17" s="21">
        <f t="shared" si="69"/>
        <v>0.37581519119198981</v>
      </c>
      <c r="DW17" s="21">
        <f t="shared" si="98"/>
        <v>0.58017203548545027</v>
      </c>
      <c r="DX17" s="18">
        <f>LAT_FEC!$B91*$D$26/SUM($D$14:$D$26)</f>
        <v>371.3869387498907</v>
      </c>
      <c r="DY17" s="18">
        <f t="shared" si="70"/>
        <v>141.95546623957387</v>
      </c>
      <c r="DZ17" s="18">
        <f t="shared" si="71"/>
        <v>356.12937097171459</v>
      </c>
      <c r="EA17" s="21">
        <f t="shared" si="72"/>
        <v>0.39860645543568102</v>
      </c>
      <c r="EB17" s="21">
        <f t="shared" si="73"/>
        <v>0.2021889237894689</v>
      </c>
      <c r="EC17" s="18">
        <f t="shared" si="74"/>
        <v>533.87632025445964</v>
      </c>
      <c r="ED17" s="21">
        <f t="shared" si="75"/>
        <v>4.2136159200812297E-2</v>
      </c>
    </row>
    <row r="18" spans="1:134" ht="19.5" customHeight="1" thickBot="1" x14ac:dyDescent="0.4">
      <c r="A18" s="77"/>
      <c r="B18" s="31" t="s">
        <v>36</v>
      </c>
      <c r="C18" s="34">
        <v>40</v>
      </c>
      <c r="D18" s="34">
        <v>96</v>
      </c>
      <c r="E18" s="21">
        <f t="shared" si="0"/>
        <v>0.41666666666666669</v>
      </c>
      <c r="F18" s="21">
        <f t="shared" si="101"/>
        <v>0.56952085447710543</v>
      </c>
      <c r="G18" s="49">
        <f>80%</f>
        <v>0.8</v>
      </c>
      <c r="H18" s="23" t="s">
        <v>200</v>
      </c>
      <c r="I18" s="23" t="s">
        <v>181</v>
      </c>
      <c r="J18" s="56">
        <f>'Efficiency Assumptions'!G47</f>
        <v>1.8521900643977709</v>
      </c>
      <c r="K18" s="84"/>
      <c r="L18" s="58">
        <f t="shared" si="100"/>
        <v>0.88107640491982864</v>
      </c>
      <c r="M18" s="47">
        <f t="shared" si="76"/>
        <v>2035</v>
      </c>
      <c r="N18" s="21">
        <f t="shared" si="77"/>
        <v>0.58563805162222948</v>
      </c>
      <c r="O18" s="18">
        <f>LAT_FEC!B198*D$5/SUM(D$5:D$8)</f>
        <v>326.89288674262667</v>
      </c>
      <c r="P18" s="18">
        <f t="shared" si="1"/>
        <v>134.14304044836055</v>
      </c>
      <c r="Q18" s="18">
        <f t="shared" si="2"/>
        <v>324.74885330900008</v>
      </c>
      <c r="R18" s="21">
        <f t="shared" si="3"/>
        <v>0.41306701804031565</v>
      </c>
      <c r="S18" s="21">
        <f t="shared" si="78"/>
        <v>0.21626937944446267</v>
      </c>
      <c r="T18" s="18">
        <f>LAT_FEC!B198*D$6/SUM(D$5:D$8)</f>
        <v>14225.263840104799</v>
      </c>
      <c r="U18" s="18">
        <f t="shared" si="4"/>
        <v>1239.5201382486782</v>
      </c>
      <c r="V18" s="18">
        <f t="shared" si="5"/>
        <v>12466.821215654807</v>
      </c>
      <c r="W18" s="21">
        <f t="shared" si="6"/>
        <v>9.9425516481474116E-2</v>
      </c>
      <c r="X18" s="21">
        <f t="shared" si="79"/>
        <v>0</v>
      </c>
      <c r="Y18" s="18">
        <f>LAT_FEC!$B198*$D$7/SUM($D$5:$D$8)</f>
        <v>11.146168767526371</v>
      </c>
      <c r="Z18" s="18">
        <f t="shared" si="7"/>
        <v>0</v>
      </c>
      <c r="AA18" s="18">
        <f t="shared" si="8"/>
        <v>11.146168767526371</v>
      </c>
      <c r="AB18" s="21">
        <f t="shared" si="9"/>
        <v>0</v>
      </c>
      <c r="AC18" s="21">
        <f t="shared" si="80"/>
        <v>0</v>
      </c>
      <c r="AD18" s="18">
        <f>LAT_FEC!$B198*$D$8/SUM($D$5:$D$8)</f>
        <v>11.86477431823155</v>
      </c>
      <c r="AE18" s="18">
        <f t="shared" si="10"/>
        <v>0</v>
      </c>
      <c r="AF18" s="18">
        <f t="shared" si="11"/>
        <v>11.86477431823155</v>
      </c>
      <c r="AG18" s="21">
        <f t="shared" si="12"/>
        <v>0</v>
      </c>
      <c r="AH18" s="21">
        <f t="shared" si="13"/>
        <v>0.10719532518506707</v>
      </c>
      <c r="AI18" s="18">
        <f t="shared" si="14"/>
        <v>1760.5866578836194</v>
      </c>
      <c r="AJ18" s="21">
        <f t="shared" si="15"/>
        <v>0.12079357834870728</v>
      </c>
      <c r="AL18" s="21">
        <f t="shared" si="81"/>
        <v>0.28980280425808969</v>
      </c>
      <c r="AM18" s="18">
        <f>LAT_FEC!B145*$D$9/SUM($D$9:$D$13)</f>
        <v>9922.9457033457802</v>
      </c>
      <c r="AN18" s="18">
        <f t="shared" si="16"/>
        <v>1237.4380259005463</v>
      </c>
      <c r="AO18" s="18">
        <f t="shared" si="17"/>
        <v>8797.2123824222308</v>
      </c>
      <c r="AP18" s="21">
        <f t="shared" si="18"/>
        <v>0.14066251581842898</v>
      </c>
      <c r="AQ18" s="21">
        <f t="shared" si="82"/>
        <v>1</v>
      </c>
      <c r="AR18" s="18">
        <f>LAT_FEC!$B145*$D$10/SUM($D$9:$D$13)</f>
        <v>11.224844225105326</v>
      </c>
      <c r="AS18" s="18">
        <f t="shared" si="19"/>
        <v>11.224844225105326</v>
      </c>
      <c r="AT18" s="18">
        <f t="shared" si="20"/>
        <v>11.224844225105326</v>
      </c>
      <c r="AU18" s="21">
        <f t="shared" si="21"/>
        <v>1</v>
      </c>
      <c r="AV18" s="18">
        <f t="shared" si="83"/>
        <v>0.7015142130271721</v>
      </c>
      <c r="AW18" s="18">
        <f>LAT_FEC!$B145*$D$11/SUM($D$9:$D$13)</f>
        <v>2510.4930019814665</v>
      </c>
      <c r="AX18" s="18">
        <f t="shared" si="22"/>
        <v>1181.7910027696935</v>
      </c>
      <c r="AY18" s="18">
        <f t="shared" si="23"/>
        <v>2438.8853386668347</v>
      </c>
      <c r="AZ18" s="21">
        <f t="shared" si="24"/>
        <v>0.48456193656717567</v>
      </c>
      <c r="BA18" s="18">
        <f t="shared" si="84"/>
        <v>0.39447554248563022</v>
      </c>
      <c r="BB18" s="18">
        <f>LAT_FEC!$B145*$D$12/SUM($D$9:$D$13)</f>
        <v>846.84527739832163</v>
      </c>
      <c r="BC18" s="18">
        <f t="shared" si="25"/>
        <v>334.05975020309694</v>
      </c>
      <c r="BD18" s="18">
        <f t="shared" si="26"/>
        <v>846.84527739832174</v>
      </c>
      <c r="BE18" s="21">
        <f t="shared" si="27"/>
        <v>0.39447554248563016</v>
      </c>
      <c r="BF18" s="18">
        <f t="shared" si="85"/>
        <v>1</v>
      </c>
      <c r="BG18" s="18">
        <f>LAT_FEC!$B145*$D$13/SUM($D$9:$D$13)</f>
        <v>1952.8317478920217</v>
      </c>
      <c r="BH18" s="18">
        <f t="shared" si="28"/>
        <v>1952.8317478920217</v>
      </c>
      <c r="BI18" s="18">
        <f t="shared" si="29"/>
        <v>1952.8317478920217</v>
      </c>
      <c r="BJ18" s="21">
        <f t="shared" si="30"/>
        <v>1</v>
      </c>
      <c r="BK18" s="21">
        <f t="shared" si="31"/>
        <v>0.33582583530120624</v>
      </c>
      <c r="BL18" s="18">
        <f t="shared" si="32"/>
        <v>1197.3409842381789</v>
      </c>
      <c r="BM18" s="21">
        <f t="shared" si="33"/>
        <v>7.8543311096979623E-2</v>
      </c>
      <c r="BO18" s="21">
        <f t="shared" si="86"/>
        <v>0.84421757696082389</v>
      </c>
      <c r="BP18" s="18">
        <f>LAT_FEC!$B92*$D$14/SUM($D$14:D$26)</f>
        <v>20.48214996990507</v>
      </c>
      <c r="BQ18" s="18">
        <f t="shared" si="34"/>
        <v>16.048359382870515</v>
      </c>
      <c r="BR18" s="18">
        <f t="shared" si="35"/>
        <v>20.490435179492575</v>
      </c>
      <c r="BS18" s="21">
        <f t="shared" si="36"/>
        <v>0.78321222767060517</v>
      </c>
      <c r="BT18" s="21">
        <f t="shared" si="87"/>
        <v>0.55118273617782454</v>
      </c>
      <c r="BU18" s="18">
        <f>LAT_FEC!$B92*$D$15/SUM($D$14:D$26)</f>
        <v>288.01752339773071</v>
      </c>
      <c r="BV18" s="18">
        <f t="shared" si="37"/>
        <v>114.96077241644346</v>
      </c>
      <c r="BW18" s="18">
        <f t="shared" si="38"/>
        <v>277.48378270973649</v>
      </c>
      <c r="BX18" s="21">
        <f t="shared" si="39"/>
        <v>0.41429726556920571</v>
      </c>
      <c r="BY18" s="21">
        <f t="shared" si="88"/>
        <v>0.69009349681256837</v>
      </c>
      <c r="BZ18" s="18">
        <f>LAT_FEC!$B92*$D$16/SUM($D$14:$D$26)</f>
        <v>26.600163323799883</v>
      </c>
      <c r="CA18" s="18">
        <f t="shared" si="40"/>
        <v>14.661733266204108</v>
      </c>
      <c r="CB18" s="18">
        <f t="shared" si="41"/>
        <v>25.34194703089781</v>
      </c>
      <c r="CC18" s="21">
        <f t="shared" si="42"/>
        <v>0.57855591160095143</v>
      </c>
      <c r="CD18" s="21">
        <f t="shared" si="89"/>
        <v>0.28401585707934651</v>
      </c>
      <c r="CE18" s="18">
        <f>LAT_FEC!$B92*$D$17/SUM($D$14:$D$26)</f>
        <v>2107.9691274168936</v>
      </c>
      <c r="CF18" s="18">
        <f t="shared" si="43"/>
        <v>425.05498838108031</v>
      </c>
      <c r="CG18" s="18">
        <f t="shared" si="44"/>
        <v>2067.21490306336</v>
      </c>
      <c r="CH18" s="21">
        <f t="shared" si="45"/>
        <v>0.20561722332361321</v>
      </c>
      <c r="CI18" s="21">
        <f t="shared" si="90"/>
        <v>0.65028387345097982</v>
      </c>
      <c r="CJ18" s="18">
        <f>LAT_FEC!$B92*$D$18/SUM($D$14:$D$26)</f>
        <v>116.21077997109259</v>
      </c>
      <c r="CK18" s="18">
        <f t="shared" si="46"/>
        <v>55.287700428565209</v>
      </c>
      <c r="CL18" s="18">
        <f t="shared" si="47"/>
        <v>110.35918101050251</v>
      </c>
      <c r="CM18" s="21">
        <f t="shared" si="48"/>
        <v>0.50097961875327501</v>
      </c>
      <c r="CN18" s="21">
        <f t="shared" si="91"/>
        <v>0.6820078491262398</v>
      </c>
      <c r="CO18" s="18">
        <f>LAT_FEC!$B92*$D$19/SUM($D$16:Y$28)</f>
        <v>5.9170094968988858</v>
      </c>
      <c r="CP18" s="18">
        <f t="shared" si="49"/>
        <v>2.9911571747822836</v>
      </c>
      <c r="CQ18" s="18">
        <f t="shared" si="50"/>
        <v>5.5690738639416324</v>
      </c>
      <c r="CR18" s="21">
        <f t="shared" si="51"/>
        <v>0.53710136512091933</v>
      </c>
      <c r="CS18" s="18">
        <f t="shared" si="92"/>
        <v>0.38817472195943137</v>
      </c>
      <c r="CT18" s="18">
        <f>LAT_FEC!$B92*$D$20/SUM($D$14:$D$26)</f>
        <v>193.13626366716574</v>
      </c>
      <c r="CU18" s="18">
        <f t="shared" si="52"/>
        <v>30.570570415843246</v>
      </c>
      <c r="CV18" s="18">
        <f t="shared" si="53"/>
        <v>165.66616434356487</v>
      </c>
      <c r="CW18" s="21">
        <f t="shared" si="54"/>
        <v>0.18453116565459207</v>
      </c>
      <c r="CX18" s="21">
        <f t="shared" si="93"/>
        <v>0.63235793769588755</v>
      </c>
      <c r="CY18" s="18">
        <f>LAT_FEC!$B92*$D$21/SUM($D$14:$D$26)</f>
        <v>1010.6633638873477</v>
      </c>
      <c r="CZ18" s="18">
        <f t="shared" si="55"/>
        <v>383.964444230862</v>
      </c>
      <c r="DA18" s="18">
        <f t="shared" si="56"/>
        <v>942.04030488517071</v>
      </c>
      <c r="DB18" s="21">
        <f t="shared" si="57"/>
        <v>0.4075881278536857</v>
      </c>
      <c r="DC18" s="21">
        <f t="shared" si="94"/>
        <v>0.70973981860841007</v>
      </c>
      <c r="DD18" s="18">
        <f>LAT_FEC!$B92*$D$22/SUM($D$14:$D$26)</f>
        <v>74.425741397736616</v>
      </c>
      <c r="DE18" s="18">
        <f t="shared" si="58"/>
        <v>34.010387969838305</v>
      </c>
      <c r="DF18" s="18">
        <f t="shared" si="59"/>
        <v>68.783205847942625</v>
      </c>
      <c r="DG18" s="21">
        <f t="shared" si="60"/>
        <v>0.49445773209559685</v>
      </c>
      <c r="DH18" s="21">
        <f t="shared" si="95"/>
        <v>0.32892892280195929</v>
      </c>
      <c r="DI18" s="18">
        <f>LAT_FEC!$B92*$D$23/SUM($D$14:$D$26)</f>
        <v>8053.6903157728966</v>
      </c>
      <c r="DJ18" s="18">
        <f t="shared" si="61"/>
        <v>1244.0397461232521</v>
      </c>
      <c r="DK18" s="18">
        <f t="shared" si="62"/>
        <v>7589.1726504950102</v>
      </c>
      <c r="DL18" s="21">
        <f t="shared" si="63"/>
        <v>0.16392297334836736</v>
      </c>
      <c r="DM18" s="21">
        <f t="shared" si="96"/>
        <v>0.42226420666284054</v>
      </c>
      <c r="DN18" s="18">
        <f>LAT_FEC!$B92*$D$24/SUM($D$14:$D$26)</f>
        <v>434.66100137375321</v>
      </c>
      <c r="DO18" s="18">
        <f t="shared" si="64"/>
        <v>84.404236193674961</v>
      </c>
      <c r="DP18" s="18">
        <f t="shared" si="65"/>
        <v>408.18178147744902</v>
      </c>
      <c r="DQ18" s="21">
        <f t="shared" si="66"/>
        <v>0.20678099813315179</v>
      </c>
      <c r="DR18" s="21">
        <f t="shared" si="97"/>
        <v>0.62322275774064617</v>
      </c>
      <c r="DS18" s="18">
        <f>LAT_FEC!$B92*$D$25/SUM($D$14:$D$26)</f>
        <v>79.983279844062508</v>
      </c>
      <c r="DT18" s="18">
        <f t="shared" si="67"/>
        <v>28.841375488349524</v>
      </c>
      <c r="DU18" s="18">
        <f t="shared" si="68"/>
        <v>72.432426137967582</v>
      </c>
      <c r="DV18" s="21">
        <f t="shared" si="69"/>
        <v>0.39818320365816756</v>
      </c>
      <c r="DW18" s="21">
        <f t="shared" si="98"/>
        <v>0.59506740284791393</v>
      </c>
      <c r="DX18" s="18">
        <f>LAT_FEC!$B92*$D$26/SUM($D$14:$D$26)</f>
        <v>374.79550228322802</v>
      </c>
      <c r="DY18" s="18">
        <f t="shared" si="70"/>
        <v>146.93634538916703</v>
      </c>
      <c r="DZ18" s="18">
        <f t="shared" si="71"/>
        <v>355.40735743948699</v>
      </c>
      <c r="EA18" s="21">
        <f t="shared" si="72"/>
        <v>0.41343079233857721</v>
      </c>
      <c r="EB18" s="21">
        <f t="shared" si="73"/>
        <v>0.21322607201950505</v>
      </c>
      <c r="EC18" s="18">
        <f t="shared" si="74"/>
        <v>678.40900831798717</v>
      </c>
      <c r="ED18" s="21">
        <f t="shared" si="75"/>
        <v>5.3056445283289379E-2</v>
      </c>
    </row>
    <row r="19" spans="1:134" ht="19.5" customHeight="1" thickBot="1" x14ac:dyDescent="0.4">
      <c r="A19" s="77"/>
      <c r="B19" s="31" t="s">
        <v>37</v>
      </c>
      <c r="C19" s="34">
        <v>81.834000000000003</v>
      </c>
      <c r="D19" s="34">
        <v>187.602</v>
      </c>
      <c r="E19" s="21">
        <f t="shared" si="0"/>
        <v>0.43621070137845014</v>
      </c>
      <c r="F19" s="21">
        <f t="shared" si="101"/>
        <v>0.58850305369905032</v>
      </c>
      <c r="G19" s="55">
        <v>0.91</v>
      </c>
      <c r="H19" s="23" t="s">
        <v>200</v>
      </c>
      <c r="I19" s="23" t="s">
        <v>181</v>
      </c>
      <c r="J19" s="56">
        <f>'Efficiency Assumptions'!G48</f>
        <v>1.8484283315099106</v>
      </c>
      <c r="K19" s="84"/>
      <c r="L19" s="58">
        <f t="shared" si="100"/>
        <v>0.94921193232301515</v>
      </c>
      <c r="M19" s="47">
        <f t="shared" si="76"/>
        <v>2036</v>
      </c>
      <c r="N19" s="21">
        <f t="shared" si="77"/>
        <v>0.61177757318022274</v>
      </c>
      <c r="O19" s="18">
        <f>LAT_FEC!B199*D$5/SUM(D$5:D$8)</f>
        <v>328.7911693280933</v>
      </c>
      <c r="P19" s="18">
        <f t="shared" si="1"/>
        <v>140.94415991564904</v>
      </c>
      <c r="Q19" s="18">
        <f t="shared" si="2"/>
        <v>320.56286828148814</v>
      </c>
      <c r="R19" s="21">
        <f t="shared" si="3"/>
        <v>0.43967712377680979</v>
      </c>
      <c r="S19" s="21">
        <f t="shared" si="78"/>
        <v>0.26480718504979034</v>
      </c>
      <c r="T19" s="18">
        <f>LAT_FEC!B199*D$6/SUM(D$5:D$8)</f>
        <v>14307.870625741589</v>
      </c>
      <c r="U19" s="18">
        <f t="shared" si="4"/>
        <v>1526.5217342704323</v>
      </c>
      <c r="V19" s="18">
        <f t="shared" si="5"/>
        <v>12119.656134351431</v>
      </c>
      <c r="W19" s="21">
        <f t="shared" si="6"/>
        <v>0.12595421168293092</v>
      </c>
      <c r="X19" s="21">
        <f t="shared" si="79"/>
        <v>0</v>
      </c>
      <c r="Y19" s="18">
        <f>LAT_FEC!$B199*$D$7/SUM($D$5:$D$8)</f>
        <v>11.210895101209877</v>
      </c>
      <c r="Z19" s="18">
        <f t="shared" si="7"/>
        <v>0</v>
      </c>
      <c r="AA19" s="18">
        <f t="shared" si="8"/>
        <v>11.210895101209877</v>
      </c>
      <c r="AB19" s="21">
        <f t="shared" si="9"/>
        <v>0</v>
      </c>
      <c r="AC19" s="21">
        <f t="shared" si="80"/>
        <v>0</v>
      </c>
      <c r="AD19" s="18">
        <f>LAT_FEC!$B199*$D$8/SUM($D$5:$D$8)</f>
        <v>11.933673628624081</v>
      </c>
      <c r="AE19" s="18">
        <f t="shared" si="10"/>
        <v>0</v>
      </c>
      <c r="AF19" s="18">
        <f t="shared" si="11"/>
        <v>11.933673628624081</v>
      </c>
      <c r="AG19" s="21">
        <f t="shared" si="12"/>
        <v>0</v>
      </c>
      <c r="AH19" s="21">
        <f t="shared" si="13"/>
        <v>0.13378939678991963</v>
      </c>
      <c r="AI19" s="18">
        <f t="shared" si="14"/>
        <v>2196.4427924367628</v>
      </c>
      <c r="AJ19" s="21">
        <f t="shared" si="15"/>
        <v>0.14982754464346762</v>
      </c>
      <c r="AL19" s="21">
        <f t="shared" si="81"/>
        <v>0.33077053491733521</v>
      </c>
      <c r="AM19" s="18">
        <f>LAT_FEC!B146*$D$9/SUM($D$9:$D$13)</f>
        <v>9744.6316381991473</v>
      </c>
      <c r="AN19" s="18">
        <f t="shared" si="16"/>
        <v>1386.9873540221852</v>
      </c>
      <c r="AO19" s="18">
        <f t="shared" si="17"/>
        <v>8382.6642939723934</v>
      </c>
      <c r="AP19" s="21">
        <f t="shared" si="18"/>
        <v>0.1654590122402381</v>
      </c>
      <c r="AQ19" s="21">
        <f t="shared" si="82"/>
        <v>1</v>
      </c>
      <c r="AR19" s="18">
        <f>LAT_FEC!$B146*$D$10/SUM($D$9:$D$13)</f>
        <v>11.023135210035194</v>
      </c>
      <c r="AS19" s="18">
        <f t="shared" si="19"/>
        <v>11.023135210035194</v>
      </c>
      <c r="AT19" s="18">
        <f t="shared" si="20"/>
        <v>11.023135210035194</v>
      </c>
      <c r="AU19" s="21">
        <f t="shared" si="21"/>
        <v>1</v>
      </c>
      <c r="AV19" s="18">
        <f t="shared" si="83"/>
        <v>0.7082477136826687</v>
      </c>
      <c r="AW19" s="18">
        <f>LAT_FEC!$B146*$D$11/SUM($D$9:$D$13)</f>
        <v>2465.3797638273413</v>
      </c>
      <c r="AX19" s="18">
        <f t="shared" si="22"/>
        <v>1171.6939779840277</v>
      </c>
      <c r="AY19" s="18">
        <f t="shared" si="23"/>
        <v>2378.3494684889101</v>
      </c>
      <c r="AZ19" s="21">
        <f t="shared" si="24"/>
        <v>0.49265004723148031</v>
      </c>
      <c r="BA19" s="18">
        <f t="shared" si="84"/>
        <v>0.44482552820358462</v>
      </c>
      <c r="BB19" s="18">
        <f>LAT_FEC!$B146*$D$12/SUM($D$9:$D$13)</f>
        <v>831.62757607479136</v>
      </c>
      <c r="BC19" s="18">
        <f t="shared" si="25"/>
        <v>369.92917579613584</v>
      </c>
      <c r="BD19" s="18">
        <f t="shared" si="26"/>
        <v>831.62757607479125</v>
      </c>
      <c r="BE19" s="21">
        <f t="shared" si="27"/>
        <v>0.44482552820358467</v>
      </c>
      <c r="BF19" s="18">
        <f t="shared" si="85"/>
        <v>1</v>
      </c>
      <c r="BG19" s="18">
        <f>LAT_FEC!$B146*$D$13/SUM($D$9:$D$13)</f>
        <v>1917.7396111491371</v>
      </c>
      <c r="BH19" s="18">
        <f t="shared" si="28"/>
        <v>1917.7396111491371</v>
      </c>
      <c r="BI19" s="18">
        <f t="shared" si="29"/>
        <v>1917.7396111491371</v>
      </c>
      <c r="BJ19" s="21">
        <f t="shared" si="30"/>
        <v>1</v>
      </c>
      <c r="BK19" s="21">
        <f t="shared" si="31"/>
        <v>0.35923586216816661</v>
      </c>
      <c r="BL19" s="18">
        <f t="shared" si="32"/>
        <v>1448.9976395651865</v>
      </c>
      <c r="BM19" s="21">
        <f t="shared" si="33"/>
        <v>9.6790832085530423E-2</v>
      </c>
      <c r="BO19" s="21">
        <f t="shared" si="86"/>
        <v>0.84401045120224127</v>
      </c>
      <c r="BP19" s="18">
        <f>LAT_FEC!$B93*$D$14/SUM($D$14:D$26)</f>
        <v>20.694534434116306</v>
      </c>
      <c r="BQ19" s="18">
        <f t="shared" si="34"/>
        <v>16.210790543612635</v>
      </c>
      <c r="BR19" s="18">
        <f t="shared" si="35"/>
        <v>20.704894672805189</v>
      </c>
      <c r="BS19" s="21">
        <f t="shared" si="36"/>
        <v>0.78294484467504544</v>
      </c>
      <c r="BT19" s="21">
        <f t="shared" si="87"/>
        <v>0.56748431589034332</v>
      </c>
      <c r="BU19" s="18">
        <f>LAT_FEC!$B93*$D$15/SUM($D$14:D$26)</f>
        <v>291.00404812683155</v>
      </c>
      <c r="BV19" s="18">
        <f t="shared" si="37"/>
        <v>119.58812275261627</v>
      </c>
      <c r="BW19" s="18">
        <f t="shared" si="38"/>
        <v>277.83213416837299</v>
      </c>
      <c r="BX19" s="21">
        <f t="shared" si="39"/>
        <v>0.43043301348339708</v>
      </c>
      <c r="BY19" s="21">
        <f t="shared" si="88"/>
        <v>0.71271438124536091</v>
      </c>
      <c r="BZ19" s="18">
        <f>LAT_FEC!$B93*$D$16/SUM($D$14:$D$26)</f>
        <v>26.875986977261917</v>
      </c>
      <c r="CA19" s="18">
        <f t="shared" si="40"/>
        <v>15.299351425434285</v>
      </c>
      <c r="CB19" s="18">
        <f t="shared" si="41"/>
        <v>25.302650662829389</v>
      </c>
      <c r="CC19" s="21">
        <f t="shared" si="42"/>
        <v>0.60465409846999341</v>
      </c>
      <c r="CD19" s="21">
        <f t="shared" si="89"/>
        <v>0.29616655910936923</v>
      </c>
      <c r="CE19" s="18">
        <f>LAT_FEC!$B93*$D$17/SUM($D$14:$D$26)</f>
        <v>2129.827179152579</v>
      </c>
      <c r="CF19" s="18">
        <f t="shared" si="43"/>
        <v>447.83565522709614</v>
      </c>
      <c r="CG19" s="18">
        <f t="shared" si="44"/>
        <v>2078.8660673758018</v>
      </c>
      <c r="CH19" s="21">
        <f t="shared" si="45"/>
        <v>0.21542304348274294</v>
      </c>
      <c r="CI19" s="21">
        <f t="shared" si="90"/>
        <v>0.6694745114492664</v>
      </c>
      <c r="CJ19" s="18">
        <f>LAT_FEC!$B93*$D$18/SUM($D$14:$D$26)</f>
        <v>117.41579820775209</v>
      </c>
      <c r="CK19" s="18">
        <f t="shared" si="46"/>
        <v>57.509515472244267</v>
      </c>
      <c r="CL19" s="18">
        <f t="shared" si="47"/>
        <v>110.09866744563396</v>
      </c>
      <c r="CM19" s="21">
        <f t="shared" si="48"/>
        <v>0.52234524546486549</v>
      </c>
      <c r="CN19" s="21">
        <f t="shared" si="91"/>
        <v>0.70422614535817596</v>
      </c>
      <c r="CO19" s="18">
        <f>LAT_FEC!$B93*$D$19/SUM($D$16:Y$28)</f>
        <v>5.9783644275862464</v>
      </c>
      <c r="CP19" s="18">
        <f t="shared" si="49"/>
        <v>3.1206288914240505</v>
      </c>
      <c r="CQ19" s="18">
        <f t="shared" si="50"/>
        <v>5.5432883842184637</v>
      </c>
      <c r="CR19" s="21">
        <f t="shared" si="51"/>
        <v>0.5629562590155629</v>
      </c>
      <c r="CS19" s="18">
        <f t="shared" si="92"/>
        <v>0.43412490811087795</v>
      </c>
      <c r="CT19" s="18">
        <f>LAT_FEC!$B93*$D$20/SUM($D$14:$D$26)</f>
        <v>195.13894121512732</v>
      </c>
      <c r="CU19" s="18">
        <f t="shared" si="52"/>
        <v>34.543879885411229</v>
      </c>
      <c r="CV19" s="18">
        <f t="shared" si="53"/>
        <v>160.78896095282798</v>
      </c>
      <c r="CW19" s="21">
        <f t="shared" si="54"/>
        <v>0.21483987259265677</v>
      </c>
      <c r="CX19" s="21">
        <f t="shared" si="93"/>
        <v>0.65026101338080788</v>
      </c>
      <c r="CY19" s="18">
        <f>LAT_FEC!$B93*$D$21/SUM($D$14:$D$26)</f>
        <v>1021.143181550656</v>
      </c>
      <c r="CZ19" s="18">
        <f t="shared" si="55"/>
        <v>398.92924099256072</v>
      </c>
      <c r="DA19" s="18">
        <f t="shared" si="56"/>
        <v>935.33349100329781</v>
      </c>
      <c r="DB19" s="21">
        <f t="shared" si="57"/>
        <v>0.42651016437425332</v>
      </c>
      <c r="DC19" s="21">
        <f t="shared" si="94"/>
        <v>0.72839276741879311</v>
      </c>
      <c r="DD19" s="18">
        <f>LAT_FEC!$B93*$D$22/SUM($D$14:$D$26)</f>
        <v>75.197480264677225</v>
      </c>
      <c r="DE19" s="18">
        <f t="shared" si="58"/>
        <v>35.266158782803544</v>
      </c>
      <c r="DF19" s="18">
        <f t="shared" si="59"/>
        <v>68.141772803211097</v>
      </c>
      <c r="DG19" s="21">
        <f t="shared" si="60"/>
        <v>0.51754096396420246</v>
      </c>
      <c r="DH19" s="21">
        <f t="shared" si="95"/>
        <v>0.34838501657443194</v>
      </c>
      <c r="DI19" s="18">
        <f>LAT_FEC!$B93*$D$23/SUM($D$14:$D$26)</f>
        <v>8137.2010168053512</v>
      </c>
      <c r="DJ19" s="18">
        <f t="shared" si="61"/>
        <v>1331.2872737835082</v>
      </c>
      <c r="DK19" s="18">
        <f t="shared" si="62"/>
        <v>7556.3449941962117</v>
      </c>
      <c r="DL19" s="21">
        <f t="shared" si="63"/>
        <v>0.17618137800828676</v>
      </c>
      <c r="DM19" s="21">
        <f t="shared" si="96"/>
        <v>0.43971553739057795</v>
      </c>
      <c r="DN19" s="18">
        <f>LAT_FEC!$B93*$D$24/SUM($D$14:$D$26)</f>
        <v>439.16810849023869</v>
      </c>
      <c r="DO19" s="18">
        <f t="shared" si="64"/>
        <v>88.803872528017706</v>
      </c>
      <c r="DP19" s="18">
        <f t="shared" si="65"/>
        <v>406.05717321168709</v>
      </c>
      <c r="DQ19" s="21">
        <f t="shared" si="66"/>
        <v>0.21869795286616492</v>
      </c>
      <c r="DR19" s="21">
        <f t="shared" si="97"/>
        <v>0.64906968975846713</v>
      </c>
      <c r="DS19" s="18">
        <f>LAT_FEC!$B93*$D$25/SUM($D$14:$D$26)</f>
        <v>80.812646197716688</v>
      </c>
      <c r="DT19" s="18">
        <f t="shared" si="67"/>
        <v>30.348980924793374</v>
      </c>
      <c r="DU19" s="18">
        <f t="shared" si="68"/>
        <v>71.370682675399451</v>
      </c>
      <c r="DV19" s="21">
        <f t="shared" si="69"/>
        <v>0.42523035772017737</v>
      </c>
      <c r="DW19" s="21">
        <f t="shared" si="98"/>
        <v>0.61226359227925564</v>
      </c>
      <c r="DX19" s="18">
        <f>LAT_FEC!$B93*$D$26/SUM($D$14:$D$26)</f>
        <v>378.68184927600777</v>
      </c>
      <c r="DY19" s="18">
        <f t="shared" si="70"/>
        <v>152.75014358895731</v>
      </c>
      <c r="DZ19" s="18">
        <f t="shared" si="71"/>
        <v>354.43794739346424</v>
      </c>
      <c r="EA19" s="21">
        <f t="shared" si="72"/>
        <v>0.43096441764286664</v>
      </c>
      <c r="EB19" s="21">
        <f t="shared" si="73"/>
        <v>0.2262889346517806</v>
      </c>
      <c r="EC19" s="18">
        <f t="shared" si="74"/>
        <v>848.31641018014307</v>
      </c>
      <c r="ED19" s="21">
        <f t="shared" si="75"/>
        <v>6.5663540063103112E-2</v>
      </c>
    </row>
    <row r="20" spans="1:134" ht="19.5" customHeight="1" thickBot="1" x14ac:dyDescent="0.4">
      <c r="A20" s="77"/>
      <c r="B20" s="31" t="s">
        <v>38</v>
      </c>
      <c r="C20" s="34">
        <v>12.673</v>
      </c>
      <c r="D20" s="34">
        <v>159.547</v>
      </c>
      <c r="E20" s="21">
        <f t="shared" si="0"/>
        <v>7.9431139413464372E-2</v>
      </c>
      <c r="F20" s="21">
        <f t="shared" si="101"/>
        <v>0.1947952336728147</v>
      </c>
      <c r="G20" s="55">
        <v>0.85</v>
      </c>
      <c r="H20" s="23" t="s">
        <v>200</v>
      </c>
      <c r="I20" s="23" t="s">
        <v>183</v>
      </c>
      <c r="J20" s="56">
        <f>'Efficiency Assumptions'!G49</f>
        <v>2.8037383177570097</v>
      </c>
      <c r="K20" s="84"/>
      <c r="L20" s="58">
        <f t="shared" si="100"/>
        <v>0.94078583287216389</v>
      </c>
      <c r="M20" s="47">
        <f t="shared" si="76"/>
        <v>2037</v>
      </c>
      <c r="N20" s="21">
        <f t="shared" si="77"/>
        <v>0.64086360167964607</v>
      </c>
      <c r="O20" s="18">
        <f>LAT_FEC!B200*D$5/SUM(D$5:D$8)</f>
        <v>330.80146638204553</v>
      </c>
      <c r="P20" s="18">
        <f t="shared" si="1"/>
        <v>148.54786712583524</v>
      </c>
      <c r="Q20" s="18">
        <f t="shared" si="2"/>
        <v>315.72530043432101</v>
      </c>
      <c r="R20" s="21">
        <f t="shared" si="3"/>
        <v>0.47049719145563695</v>
      </c>
      <c r="S20" s="21">
        <f t="shared" si="78"/>
        <v>0.31881628364801312</v>
      </c>
      <c r="T20" s="18">
        <f>LAT_FEC!B200*D$6/SUM(D$5:D$8)</f>
        <v>14395.351899116533</v>
      </c>
      <c r="U20" s="18">
        <f t="shared" si="4"/>
        <v>1849.1025762617653</v>
      </c>
      <c r="V20" s="18">
        <f t="shared" si="5"/>
        <v>11724.049437821412</v>
      </c>
      <c r="W20" s="21">
        <f t="shared" si="6"/>
        <v>0.15771876313457184</v>
      </c>
      <c r="X20" s="21">
        <f t="shared" si="79"/>
        <v>0</v>
      </c>
      <c r="Y20" s="18">
        <f>LAT_FEC!$B200*$D$7/SUM($D$5:$D$8)</f>
        <v>11.279440827179908</v>
      </c>
      <c r="Z20" s="18">
        <f t="shared" si="7"/>
        <v>0</v>
      </c>
      <c r="AA20" s="18">
        <f t="shared" si="8"/>
        <v>11.279440827179908</v>
      </c>
      <c r="AB20" s="21">
        <f t="shared" si="9"/>
        <v>0</v>
      </c>
      <c r="AC20" s="21">
        <f t="shared" si="80"/>
        <v>0</v>
      </c>
      <c r="AD20" s="18">
        <f>LAT_FEC!$B200*$D$8/SUM($D$5:$D$8)</f>
        <v>12.006638571653045</v>
      </c>
      <c r="AE20" s="18">
        <f t="shared" si="10"/>
        <v>0</v>
      </c>
      <c r="AF20" s="18">
        <f t="shared" si="11"/>
        <v>12.006638571653045</v>
      </c>
      <c r="AG20" s="21">
        <f t="shared" si="12"/>
        <v>0</v>
      </c>
      <c r="AH20" s="21">
        <f t="shared" si="13"/>
        <v>0.16560062770006045</v>
      </c>
      <c r="AI20" s="18">
        <f t="shared" si="14"/>
        <v>2686.3786272428461</v>
      </c>
      <c r="AJ20" s="21">
        <f t="shared" si="15"/>
        <v>0.18213428634212961</v>
      </c>
      <c r="AL20" s="21">
        <f t="shared" si="81"/>
        <v>0.37635624232471243</v>
      </c>
      <c r="AM20" s="18">
        <f>LAT_FEC!B147*$D$9/SUM($D$9:$D$13)</f>
        <v>9572.4442449257713</v>
      </c>
      <c r="AN20" s="18">
        <f t="shared" si="16"/>
        <v>1550.2517425890451</v>
      </c>
      <c r="AO20" s="18">
        <f t="shared" si="17"/>
        <v>7954.2129123525174</v>
      </c>
      <c r="AP20" s="21">
        <f t="shared" si="18"/>
        <v>0.19489693822270929</v>
      </c>
      <c r="AQ20" s="21">
        <f t="shared" si="82"/>
        <v>1</v>
      </c>
      <c r="AR20" s="18">
        <f>LAT_FEC!$B147*$D$10/SUM($D$9:$D$13)</f>
        <v>10.828356691155573</v>
      </c>
      <c r="AS20" s="18">
        <f t="shared" si="19"/>
        <v>10.828356691155573</v>
      </c>
      <c r="AT20" s="18">
        <f t="shared" si="20"/>
        <v>10.828356691155573</v>
      </c>
      <c r="AU20" s="21">
        <f t="shared" si="21"/>
        <v>1</v>
      </c>
      <c r="AV20" s="18">
        <f t="shared" si="83"/>
        <v>0.71574023000635678</v>
      </c>
      <c r="AW20" s="18">
        <f>LAT_FEC!$B147*$D$11/SUM($D$9:$D$13)</f>
        <v>2421.8165660869277</v>
      </c>
      <c r="AX20" s="18">
        <f t="shared" si="22"/>
        <v>1163.1664413551744</v>
      </c>
      <c r="AY20" s="18">
        <f t="shared" si="23"/>
        <v>2318.0596945994757</v>
      </c>
      <c r="AZ20" s="21">
        <f t="shared" si="24"/>
        <v>0.50178450713114664</v>
      </c>
      <c r="BA20" s="18">
        <f t="shared" si="84"/>
        <v>0.50085108002131296</v>
      </c>
      <c r="BB20" s="18">
        <f>LAT_FEC!$B147*$D$12/SUM($D$9:$D$13)</f>
        <v>816.93273795107575</v>
      </c>
      <c r="BC20" s="18">
        <f t="shared" si="25"/>
        <v>409.16164410756454</v>
      </c>
      <c r="BD20" s="18">
        <f t="shared" si="26"/>
        <v>816.93273795107575</v>
      </c>
      <c r="BE20" s="21">
        <f t="shared" si="27"/>
        <v>0.50085108002131296</v>
      </c>
      <c r="BF20" s="18">
        <f t="shared" si="85"/>
        <v>1</v>
      </c>
      <c r="BG20" s="18">
        <f>LAT_FEC!$B147*$D$13/SUM($D$9:$D$13)</f>
        <v>1883.853200981878</v>
      </c>
      <c r="BH20" s="18">
        <f t="shared" si="28"/>
        <v>1883.853200981878</v>
      </c>
      <c r="BI20" s="18">
        <f t="shared" si="29"/>
        <v>1883.853200981878</v>
      </c>
      <c r="BJ20" s="21">
        <f t="shared" si="30"/>
        <v>1</v>
      </c>
      <c r="BK20" s="21">
        <f t="shared" si="31"/>
        <v>0.38642214179556317</v>
      </c>
      <c r="BL20" s="18">
        <f t="shared" si="32"/>
        <v>1721.9882040607063</v>
      </c>
      <c r="BM20" s="21">
        <f t="shared" si="33"/>
        <v>0.11709525557466265</v>
      </c>
      <c r="BO20" s="21">
        <f t="shared" si="86"/>
        <v>0.84377997775215419</v>
      </c>
      <c r="BP20" s="18">
        <f>LAT_FEC!$B94*$D$14/SUM($D$14:D$26)</f>
        <v>20.915506502637879</v>
      </c>
      <c r="BQ20" s="18">
        <f t="shared" si="34"/>
        <v>16.379412160007924</v>
      </c>
      <c r="BR20" s="18">
        <f t="shared" si="35"/>
        <v>20.928214335060261</v>
      </c>
      <c r="BS20" s="21">
        <f t="shared" si="36"/>
        <v>0.78264738203527007</v>
      </c>
      <c r="BT20" s="21">
        <f t="shared" si="87"/>
        <v>0.58562344713082881</v>
      </c>
      <c r="BU20" s="18">
        <f>LAT_FEC!$B94*$D$15/SUM($D$14:D$26)</f>
        <v>294.11133071235946</v>
      </c>
      <c r="BV20" s="18">
        <f t="shared" si="37"/>
        <v>124.72840475290134</v>
      </c>
      <c r="BW20" s="18">
        <f t="shared" si="38"/>
        <v>277.95470727030352</v>
      </c>
      <c r="BX20" s="21">
        <f t="shared" si="39"/>
        <v>0.44873643615470887</v>
      </c>
      <c r="BY20" s="21">
        <f t="shared" si="88"/>
        <v>0.73788514375662695</v>
      </c>
      <c r="BZ20" s="18">
        <f>LAT_FEC!$B94*$D$16/SUM($D$14:$D$26)</f>
        <v>27.162963350411626</v>
      </c>
      <c r="CA20" s="18">
        <f t="shared" si="40"/>
        <v>16.008807799913761</v>
      </c>
      <c r="CB20" s="18">
        <f t="shared" si="41"/>
        <v>25.233114547863472</v>
      </c>
      <c r="CC20" s="21">
        <f t="shared" si="42"/>
        <v>0.63443645728106335</v>
      </c>
      <c r="CD20" s="21">
        <f t="shared" si="89"/>
        <v>0.30968691619582744</v>
      </c>
      <c r="CE20" s="18">
        <f>LAT_FEC!$B94*$D$17/SUM($D$14:$D$26)</f>
        <v>2152.5690445890368</v>
      </c>
      <c r="CF20" s="18">
        <f t="shared" si="43"/>
        <v>473.28008594201083</v>
      </c>
      <c r="CG20" s="18">
        <f t="shared" si="44"/>
        <v>2090.0603237028681</v>
      </c>
      <c r="CH20" s="21">
        <f t="shared" si="45"/>
        <v>0.22644326605058043</v>
      </c>
      <c r="CI20" s="21">
        <f t="shared" si="90"/>
        <v>0.690828362264856</v>
      </c>
      <c r="CJ20" s="18">
        <f>LAT_FEC!$B94*$D$18/SUM($D$14:$D$26)</f>
        <v>118.66954044049859</v>
      </c>
      <c r="CK20" s="18">
        <f t="shared" si="46"/>
        <v>59.977525865800942</v>
      </c>
      <c r="CL20" s="18">
        <f t="shared" si="47"/>
        <v>109.69437352302037</v>
      </c>
      <c r="CM20" s="21">
        <f t="shared" si="48"/>
        <v>0.54676939153323212</v>
      </c>
      <c r="CN20" s="21">
        <f t="shared" si="91"/>
        <v>0.72894893900139435</v>
      </c>
      <c r="CO20" s="18">
        <f>LAT_FEC!$B94*$D$19/SUM($D$16:Y$28)</f>
        <v>6.0422001982408249</v>
      </c>
      <c r="CP20" s="18">
        <f t="shared" si="49"/>
        <v>3.2646739511448182</v>
      </c>
      <c r="CQ20" s="18">
        <f t="shared" si="50"/>
        <v>5.5085374500994373</v>
      </c>
      <c r="CR20" s="21">
        <f t="shared" si="51"/>
        <v>0.59265712191643283</v>
      </c>
      <c r="CS20" s="18">
        <f t="shared" si="92"/>
        <v>0.48525470484375222</v>
      </c>
      <c r="CT20" s="18">
        <f>LAT_FEC!$B94*$D$20/SUM($D$14:$D$26)</f>
        <v>197.22259550687738</v>
      </c>
      <c r="CU20" s="18">
        <f t="shared" si="52"/>
        <v>39.024638705068888</v>
      </c>
      <c r="CV20" s="18">
        <f t="shared" si="53"/>
        <v>155.08903024898743</v>
      </c>
      <c r="CW20" s="21">
        <f t="shared" si="54"/>
        <v>0.25162733071718124</v>
      </c>
      <c r="CX20" s="21">
        <f t="shared" si="93"/>
        <v>0.67018216490011295</v>
      </c>
      <c r="CY20" s="18">
        <f>LAT_FEC!$B94*$D$21/SUM($D$14:$D$26)</f>
        <v>1032.0467426721837</v>
      </c>
      <c r="CZ20" s="18">
        <f t="shared" si="55"/>
        <v>415.5408711683146</v>
      </c>
      <c r="DA20" s="18">
        <f t="shared" si="56"/>
        <v>926.79287734741661</v>
      </c>
      <c r="DB20" s="21">
        <f t="shared" si="57"/>
        <v>0.44836433395737607</v>
      </c>
      <c r="DC20" s="21">
        <f t="shared" si="94"/>
        <v>0.74914831948555172</v>
      </c>
      <c r="DD20" s="18">
        <f>LAT_FEC!$B94*$D$22/SUM($D$14:$D$26)</f>
        <v>76.000423805861814</v>
      </c>
      <c r="DE20" s="18">
        <f t="shared" si="58"/>
        <v>36.65836313996865</v>
      </c>
      <c r="DF20" s="18">
        <f t="shared" si="59"/>
        <v>67.345917791646002</v>
      </c>
      <c r="DG20" s="21">
        <f t="shared" si="60"/>
        <v>0.54432940172234134</v>
      </c>
      <c r="DH20" s="21">
        <f t="shared" si="95"/>
        <v>0.37003424594911971</v>
      </c>
      <c r="DI20" s="18">
        <f>LAT_FEC!$B94*$D$23/SUM($D$14:$D$26)</f>
        <v>8224.0884095313759</v>
      </c>
      <c r="DJ20" s="18">
        <f t="shared" si="61"/>
        <v>1429.1142730088716</v>
      </c>
      <c r="DK20" s="18">
        <f t="shared" si="62"/>
        <v>7511.6124503850078</v>
      </c>
      <c r="DL20" s="21">
        <f t="shared" si="63"/>
        <v>0.19025399439179297</v>
      </c>
      <c r="DM20" s="21">
        <f t="shared" si="96"/>
        <v>0.45913402222296829</v>
      </c>
      <c r="DN20" s="18">
        <f>LAT_FEC!$B94*$D$24/SUM($D$14:$D$26)</f>
        <v>443.85745705571367</v>
      </c>
      <c r="DO20" s="18">
        <f t="shared" si="64"/>
        <v>93.715687226015973</v>
      </c>
      <c r="DP20" s="18">
        <f t="shared" si="65"/>
        <v>403.24370002716034</v>
      </c>
      <c r="DQ20" s="21">
        <f t="shared" si="66"/>
        <v>0.23240459111872991</v>
      </c>
      <c r="DR20" s="21">
        <f t="shared" si="97"/>
        <v>0.67783014735234781</v>
      </c>
      <c r="DS20" s="18">
        <f>LAT_FEC!$B94*$D$25/SUM($D$14:$D$26)</f>
        <v>81.6755473492194</v>
      </c>
      <c r="DT20" s="18">
        <f t="shared" si="67"/>
        <v>32.032172173526554</v>
      </c>
      <c r="DU20" s="18">
        <f t="shared" si="68"/>
        <v>70.09406802398091</v>
      </c>
      <c r="DV20" s="21">
        <f t="shared" si="69"/>
        <v>0.45698834546979866</v>
      </c>
      <c r="DW20" s="21">
        <f t="shared" si="98"/>
        <v>0.63139817570197865</v>
      </c>
      <c r="DX20" s="18">
        <f>LAT_FEC!$B94*$D$26/SUM($D$14:$D$26)</f>
        <v>382.72533775420931</v>
      </c>
      <c r="DY20" s="18">
        <f t="shared" si="70"/>
        <v>159.20593011310194</v>
      </c>
      <c r="DZ20" s="18">
        <f t="shared" si="71"/>
        <v>352.98785277535609</v>
      </c>
      <c r="EA20" s="21">
        <f t="shared" si="72"/>
        <v>0.45102382096536819</v>
      </c>
      <c r="EB20" s="21">
        <f t="shared" si="73"/>
        <v>0.24124495065888757</v>
      </c>
      <c r="EC20" s="18">
        <f t="shared" si="74"/>
        <v>1040.5419320398578</v>
      </c>
      <c r="ED20" s="21">
        <f t="shared" si="75"/>
        <v>7.9691735538947567E-2</v>
      </c>
    </row>
    <row r="21" spans="1:134" ht="19.5" customHeight="1" thickBot="1" x14ac:dyDescent="0.4">
      <c r="A21" s="77"/>
      <c r="B21" s="31" t="s">
        <v>40</v>
      </c>
      <c r="C21" s="34">
        <v>279.39499999999998</v>
      </c>
      <c r="D21" s="34">
        <v>834.89400000000001</v>
      </c>
      <c r="E21" s="21">
        <f t="shared" si="0"/>
        <v>0.33464727258789734</v>
      </c>
      <c r="F21" s="21">
        <f t="shared" si="101"/>
        <v>0.55701357231517246</v>
      </c>
      <c r="G21" s="55">
        <v>0.69</v>
      </c>
      <c r="H21" s="23" t="s">
        <v>200</v>
      </c>
      <c r="I21" s="23" t="s">
        <v>181</v>
      </c>
      <c r="J21" s="56">
        <f>'Efficiency Assumptions'!G50</f>
        <v>2.5</v>
      </c>
      <c r="K21" s="84"/>
      <c r="L21" s="58">
        <f t="shared" si="100"/>
        <v>0.84766584766584752</v>
      </c>
      <c r="M21" s="47">
        <f t="shared" si="76"/>
        <v>2038</v>
      </c>
      <c r="N21" s="21">
        <f t="shared" si="77"/>
        <v>0.67193140117848216</v>
      </c>
      <c r="O21" s="18">
        <f>LAT_FEC!B201*D$5/SUM(D$5:D$8)</f>
        <v>332.90464000030823</v>
      </c>
      <c r="P21" s="18">
        <f t="shared" si="1"/>
        <v>156.73939783767204</v>
      </c>
      <c r="Q21" s="18">
        <f t="shared" si="2"/>
        <v>310.42575490921291</v>
      </c>
      <c r="R21" s="21">
        <f t="shared" si="3"/>
        <v>0.50491750558362025</v>
      </c>
      <c r="S21" s="21">
        <f t="shared" si="78"/>
        <v>0.37650528186912541</v>
      </c>
      <c r="T21" s="18">
        <f>LAT_FEC!B201*D$6/SUM(D$5:D$8)</f>
        <v>14486.874843893518</v>
      </c>
      <c r="U21" s="18">
        <f t="shared" si="4"/>
        <v>2197.5765094693279</v>
      </c>
      <c r="V21" s="18">
        <f t="shared" si="5"/>
        <v>11293.686657804126</v>
      </c>
      <c r="W21" s="21">
        <f t="shared" si="6"/>
        <v>0.19458451221955639</v>
      </c>
      <c r="X21" s="21">
        <f t="shared" si="79"/>
        <v>0</v>
      </c>
      <c r="Y21" s="18">
        <f>LAT_FEC!$B201*$D$7/SUM($D$5:$D$8)</f>
        <v>11.351153394345747</v>
      </c>
      <c r="Z21" s="18">
        <f t="shared" si="7"/>
        <v>0</v>
      </c>
      <c r="AA21" s="18">
        <f t="shared" si="8"/>
        <v>11.351153394345747</v>
      </c>
      <c r="AB21" s="21">
        <f t="shared" si="9"/>
        <v>0</v>
      </c>
      <c r="AC21" s="21">
        <f t="shared" si="80"/>
        <v>0</v>
      </c>
      <c r="AD21" s="18">
        <f>LAT_FEC!$B201*$D$8/SUM($D$5:$D$8)</f>
        <v>12.08297452555342</v>
      </c>
      <c r="AE21" s="18">
        <f t="shared" si="10"/>
        <v>0</v>
      </c>
      <c r="AF21" s="18">
        <f t="shared" si="11"/>
        <v>12.08297452555342</v>
      </c>
      <c r="AG21" s="21">
        <f t="shared" si="12"/>
        <v>0</v>
      </c>
      <c r="AH21" s="21">
        <f t="shared" si="13"/>
        <v>0.20247744432410447</v>
      </c>
      <c r="AI21" s="18">
        <f t="shared" si="14"/>
        <v>3215.6670711804873</v>
      </c>
      <c r="AJ21" s="21">
        <f t="shared" si="15"/>
        <v>0.2166422417192147</v>
      </c>
      <c r="AL21" s="21">
        <f t="shared" si="81"/>
        <v>0.42504792320417945</v>
      </c>
      <c r="AM21" s="18">
        <f>LAT_FEC!B148*$D$9/SUM($D$9:$D$13)</f>
        <v>9405.5761771560337</v>
      </c>
      <c r="AN21" s="18">
        <f t="shared" si="16"/>
        <v>1720.297517949024</v>
      </c>
      <c r="AO21" s="18">
        <f t="shared" si="17"/>
        <v>7521.3436217025555</v>
      </c>
      <c r="AP21" s="21">
        <f t="shared" si="18"/>
        <v>0.22872210132577508</v>
      </c>
      <c r="AQ21" s="21">
        <f t="shared" si="82"/>
        <v>1</v>
      </c>
      <c r="AR21" s="18">
        <f>LAT_FEC!$B148*$D$10/SUM($D$9:$D$13)</f>
        <v>10.639595397598555</v>
      </c>
      <c r="AS21" s="18">
        <f t="shared" si="19"/>
        <v>10.639595397598555</v>
      </c>
      <c r="AT21" s="18">
        <f t="shared" si="20"/>
        <v>10.639595397598555</v>
      </c>
      <c r="AU21" s="21">
        <f t="shared" si="21"/>
        <v>1</v>
      </c>
      <c r="AV21" s="18">
        <f t="shared" si="83"/>
        <v>0.72374324749947072</v>
      </c>
      <c r="AW21" s="18">
        <f>LAT_FEC!$B148*$D$11/SUM($D$9:$D$13)</f>
        <v>2379.5991511262828</v>
      </c>
      <c r="AX21" s="18">
        <f t="shared" si="22"/>
        <v>1155.6691490863468</v>
      </c>
      <c r="AY21" s="18">
        <f t="shared" si="23"/>
        <v>2258.4822226268971</v>
      </c>
      <c r="AZ21" s="21">
        <f t="shared" si="24"/>
        <v>0.51170168067214594</v>
      </c>
      <c r="BA21" s="18">
        <f t="shared" si="84"/>
        <v>0.56069392211710967</v>
      </c>
      <c r="BB21" s="18">
        <f>LAT_FEC!$B148*$D$12/SUM($D$9:$D$13)</f>
        <v>802.69186237198846</v>
      </c>
      <c r="BC21" s="18">
        <f t="shared" si="25"/>
        <v>450.06444856483739</v>
      </c>
      <c r="BD21" s="18">
        <f t="shared" si="26"/>
        <v>802.69186237198846</v>
      </c>
      <c r="BE21" s="21">
        <f t="shared" si="27"/>
        <v>0.56069392211710967</v>
      </c>
      <c r="BF21" s="18">
        <f t="shared" si="85"/>
        <v>1</v>
      </c>
      <c r="BG21" s="18">
        <f>LAT_FEC!$B148*$D$13/SUM($D$9:$D$13)</f>
        <v>1851.0136319474257</v>
      </c>
      <c r="BH21" s="18">
        <f t="shared" si="28"/>
        <v>1851.0136319474257</v>
      </c>
      <c r="BI21" s="18">
        <f t="shared" si="29"/>
        <v>1851.0136319474257</v>
      </c>
      <c r="BJ21" s="21">
        <f t="shared" si="30"/>
        <v>1</v>
      </c>
      <c r="BK21" s="21">
        <f t="shared" si="31"/>
        <v>0.41687665417324477</v>
      </c>
      <c r="BL21" s="18">
        <f t="shared" si="32"/>
        <v>2005.349483952863</v>
      </c>
      <c r="BM21" s="21">
        <f t="shared" si="33"/>
        <v>0.13878311708220156</v>
      </c>
      <c r="BO21" s="21">
        <f t="shared" si="86"/>
        <v>0.84353380103754183</v>
      </c>
      <c r="BP21" s="18">
        <f>LAT_FEC!$B95*$D$14/SUM($D$14:D$26)</f>
        <v>21.143956318281827</v>
      </c>
      <c r="BQ21" s="18">
        <f t="shared" si="34"/>
        <v>16.553485477239587</v>
      </c>
      <c r="BR21" s="18">
        <f t="shared" si="35"/>
        <v>21.159218434860556</v>
      </c>
      <c r="BS21" s="21">
        <f t="shared" si="36"/>
        <v>0.78232972206417317</v>
      </c>
      <c r="BT21" s="21">
        <f t="shared" si="87"/>
        <v>0.60499848461570405</v>
      </c>
      <c r="BU21" s="18">
        <f>LAT_FEC!$B95*$D$15/SUM($D$14:D$26)</f>
        <v>297.32376447634982</v>
      </c>
      <c r="BV21" s="18">
        <f t="shared" si="37"/>
        <v>130.26239678504965</v>
      </c>
      <c r="BW21" s="18">
        <f t="shared" si="38"/>
        <v>277.91964721264429</v>
      </c>
      <c r="BX21" s="21">
        <f t="shared" si="39"/>
        <v>0.4687052466117379</v>
      </c>
      <c r="BY21" s="21">
        <f t="shared" si="88"/>
        <v>0.76477091136660968</v>
      </c>
      <c r="BZ21" s="18">
        <f>LAT_FEC!$B95*$D$16/SUM($D$14:$D$26)</f>
        <v>27.459651071981373</v>
      </c>
      <c r="CA21" s="18">
        <f t="shared" si="40"/>
        <v>16.773336186917255</v>
      </c>
      <c r="CB21" s="18">
        <f t="shared" si="41"/>
        <v>25.141901165872223</v>
      </c>
      <c r="CC21" s="21">
        <f t="shared" si="42"/>
        <v>0.66714669174205044</v>
      </c>
      <c r="CD21" s="21">
        <f t="shared" si="89"/>
        <v>0.32412848023139446</v>
      </c>
      <c r="CE21" s="18">
        <f>LAT_FEC!$B95*$D$17/SUM($D$14:$D$26)</f>
        <v>2176.0805001368722</v>
      </c>
      <c r="CF21" s="18">
        <f t="shared" si="43"/>
        <v>500.76092542432337</v>
      </c>
      <c r="CG21" s="18">
        <f t="shared" si="44"/>
        <v>2101.0074779531533</v>
      </c>
      <c r="CH21" s="21">
        <f t="shared" si="45"/>
        <v>0.23834323803177296</v>
      </c>
      <c r="CI21" s="21">
        <f t="shared" si="90"/>
        <v>0.71363715362940916</v>
      </c>
      <c r="CJ21" s="18">
        <f>LAT_FEC!$B95*$D$18/SUM($D$14:$D$26)</f>
        <v>119.96570960727277</v>
      </c>
      <c r="CK21" s="18">
        <f t="shared" si="46"/>
        <v>62.634513193748191</v>
      </c>
      <c r="CL21" s="18">
        <f t="shared" si="47"/>
        <v>109.18652719006366</v>
      </c>
      <c r="CM21" s="21">
        <f t="shared" si="48"/>
        <v>0.57364690320005107</v>
      </c>
      <c r="CN21" s="21">
        <f t="shared" si="91"/>
        <v>0.75535621547002041</v>
      </c>
      <c r="CO21" s="18">
        <f>LAT_FEC!$B95*$D$19/SUM($D$16:Y$28)</f>
        <v>6.108196186489919</v>
      </c>
      <c r="CP21" s="18">
        <f t="shared" si="49"/>
        <v>3.4198919090172777</v>
      </c>
      <c r="CQ21" s="18">
        <f t="shared" si="50"/>
        <v>5.4672668127662032</v>
      </c>
      <c r="CR21" s="21">
        <f t="shared" si="51"/>
        <v>0.62552131186130255</v>
      </c>
      <c r="CS21" s="18">
        <f t="shared" si="92"/>
        <v>0.53986822051656658</v>
      </c>
      <c r="CT21" s="18">
        <f>LAT_FEC!$B95*$D$20/SUM($D$14:$D$26)</f>
        <v>199.3767611532453</v>
      </c>
      <c r="CU21" s="18">
        <f t="shared" si="52"/>
        <v>43.890928291737431</v>
      </c>
      <c r="CV21" s="18">
        <f t="shared" si="53"/>
        <v>148.77431665522269</v>
      </c>
      <c r="CW21" s="21">
        <f t="shared" si="54"/>
        <v>0.29501683676660767</v>
      </c>
      <c r="CX21" s="21">
        <f t="shared" si="93"/>
        <v>0.69146064027532528</v>
      </c>
      <c r="CY21" s="18">
        <f>LAT_FEC!$B95*$D$21/SUM($D$14:$D$26)</f>
        <v>1043.3192828838999</v>
      </c>
      <c r="CZ21" s="18">
        <f t="shared" si="55"/>
        <v>433.41726828966318</v>
      </c>
      <c r="DA21" s="18">
        <f t="shared" si="56"/>
        <v>916.90930913259251</v>
      </c>
      <c r="DB21" s="21">
        <f t="shared" si="57"/>
        <v>0.47269371569548274</v>
      </c>
      <c r="DC21" s="21">
        <f t="shared" si="94"/>
        <v>0.77131804713023477</v>
      </c>
      <c r="DD21" s="18">
        <f>LAT_FEC!$B95*$D$22/SUM($D$14:$D$26)</f>
        <v>76.830539146607748</v>
      </c>
      <c r="DE21" s="18">
        <f t="shared" si="58"/>
        <v>38.155453445932181</v>
      </c>
      <c r="DF21" s="18">
        <f t="shared" si="59"/>
        <v>66.436470722499024</v>
      </c>
      <c r="DG21" s="21">
        <f t="shared" si="60"/>
        <v>0.57431487601599307</v>
      </c>
      <c r="DH21" s="21">
        <f t="shared" si="95"/>
        <v>0.39315854143450879</v>
      </c>
      <c r="DI21" s="18">
        <f>LAT_FEC!$B95*$D$23/SUM($D$14:$D$26)</f>
        <v>8313.9160922011706</v>
      </c>
      <c r="DJ21" s="18">
        <f t="shared" si="61"/>
        <v>1535.0079164460585</v>
      </c>
      <c r="DK21" s="18">
        <f t="shared" si="62"/>
        <v>7458.2319136084698</v>
      </c>
      <c r="DL21" s="21">
        <f t="shared" si="63"/>
        <v>0.20581391598258644</v>
      </c>
      <c r="DM21" s="21">
        <f t="shared" si="96"/>
        <v>0.47987558181250978</v>
      </c>
      <c r="DN21" s="18">
        <f>LAT_FEC!$B95*$D$24/SUM($D$14:$D$26)</f>
        <v>448.70549428702719</v>
      </c>
      <c r="DO21" s="18">
        <f t="shared" si="64"/>
        <v>99.019182640651366</v>
      </c>
      <c r="DP21" s="18">
        <f t="shared" si="65"/>
        <v>399.92834064919936</v>
      </c>
      <c r="DQ21" s="21">
        <f t="shared" si="66"/>
        <v>0.24759231236254625</v>
      </c>
      <c r="DR21" s="21">
        <f t="shared" si="97"/>
        <v>0.70855019323414226</v>
      </c>
      <c r="DS21" s="18">
        <f>LAT_FEC!$B95*$D$25/SUM($D$14:$D$26)</f>
        <v>82.567649280013882</v>
      </c>
      <c r="DT21" s="18">
        <f t="shared" si="67"/>
        <v>33.849635537616393</v>
      </c>
      <c r="DU21" s="18">
        <f t="shared" si="68"/>
        <v>68.658283643061679</v>
      </c>
      <c r="DV21" s="21">
        <f t="shared" si="69"/>
        <v>0.49301604615682959</v>
      </c>
      <c r="DW21" s="21">
        <f t="shared" si="98"/>
        <v>0.65183649031350066</v>
      </c>
      <c r="DX21" s="18">
        <f>LAT_FEC!$B95*$D$26/SUM($D$14:$D$26)</f>
        <v>386.90565883996402</v>
      </c>
      <c r="DY21" s="18">
        <f t="shared" si="70"/>
        <v>166.15463213997342</v>
      </c>
      <c r="DZ21" s="18">
        <f t="shared" si="71"/>
        <v>351.19091635513684</v>
      </c>
      <c r="EA21" s="21">
        <f t="shared" si="72"/>
        <v>0.4731176815859095</v>
      </c>
      <c r="EB21" s="21">
        <f t="shared" si="73"/>
        <v>0.25773193127820498</v>
      </c>
      <c r="EC21" s="18">
        <f t="shared" si="74"/>
        <v>1249.6916660536317</v>
      </c>
      <c r="ED21" s="21">
        <f t="shared" si="75"/>
        <v>9.4675739435617412E-2</v>
      </c>
    </row>
    <row r="22" spans="1:134" ht="19.5" customHeight="1" thickBot="1" x14ac:dyDescent="0.4">
      <c r="A22" s="77"/>
      <c r="B22" s="31" t="s">
        <v>41</v>
      </c>
      <c r="C22" s="34">
        <v>24.988</v>
      </c>
      <c r="D22" s="34">
        <v>61.481999999999999</v>
      </c>
      <c r="E22" s="21">
        <f t="shared" si="0"/>
        <v>0.40642789759604436</v>
      </c>
      <c r="F22" s="21">
        <f t="shared" si="101"/>
        <v>0.63123964269835497</v>
      </c>
      <c r="G22" s="55">
        <v>0.85</v>
      </c>
      <c r="H22" s="23" t="s">
        <v>200</v>
      </c>
      <c r="I22" s="23" t="s">
        <v>182</v>
      </c>
      <c r="J22" s="56">
        <f>'Efficiency Assumptions'!G51</f>
        <v>2.5</v>
      </c>
      <c r="K22" s="84"/>
      <c r="L22" s="58">
        <f t="shared" si="100"/>
        <v>0.93406593406593408</v>
      </c>
      <c r="M22" s="47">
        <f t="shared" si="76"/>
        <v>2039</v>
      </c>
      <c r="N22" s="21">
        <f t="shared" si="77"/>
        <v>0.70369953782223305</v>
      </c>
      <c r="O22" s="18">
        <f>LAT_FEC!B202*D$5/SUM(D$5:D$8)</f>
        <v>335.1156685376227</v>
      </c>
      <c r="P22" s="18">
        <f t="shared" si="1"/>
        <v>165.24007677005491</v>
      </c>
      <c r="Q22" s="18">
        <f t="shared" si="2"/>
        <v>304.96628289189465</v>
      </c>
      <c r="R22" s="21">
        <f t="shared" si="3"/>
        <v>0.54183064174549977</v>
      </c>
      <c r="S22" s="21">
        <f t="shared" si="78"/>
        <v>0.43549471813087465</v>
      </c>
      <c r="T22" s="18">
        <f>LAT_FEC!B202*D$6/SUM(D$5:D$8)</f>
        <v>14583.091266999912</v>
      </c>
      <c r="U22" s="18">
        <f t="shared" si="4"/>
        <v>2558.7668093468765</v>
      </c>
      <c r="V22" s="18">
        <f t="shared" si="5"/>
        <v>10848.982452545868</v>
      </c>
      <c r="W22" s="21">
        <f t="shared" si="6"/>
        <v>0.23585316139454401</v>
      </c>
      <c r="X22" s="21">
        <f t="shared" si="79"/>
        <v>0</v>
      </c>
      <c r="Y22" s="18">
        <f>LAT_FEC!$B202*$D$7/SUM($D$5:$D$8)</f>
        <v>11.42654352434306</v>
      </c>
      <c r="Z22" s="18">
        <f t="shared" si="7"/>
        <v>0</v>
      </c>
      <c r="AA22" s="18">
        <f t="shared" si="8"/>
        <v>11.42654352434306</v>
      </c>
      <c r="AB22" s="21">
        <f t="shared" si="9"/>
        <v>0</v>
      </c>
      <c r="AC22" s="21">
        <f t="shared" si="80"/>
        <v>0</v>
      </c>
      <c r="AD22" s="18">
        <f>LAT_FEC!$B202*$D$8/SUM($D$5:$D$8)</f>
        <v>12.163225138736877</v>
      </c>
      <c r="AE22" s="18">
        <f t="shared" si="10"/>
        <v>0</v>
      </c>
      <c r="AF22" s="18">
        <f t="shared" si="11"/>
        <v>12.163225138736877</v>
      </c>
      <c r="AG22" s="21">
        <f t="shared" si="12"/>
        <v>0</v>
      </c>
      <c r="AH22" s="21">
        <f t="shared" si="13"/>
        <v>0.24370364594293648</v>
      </c>
      <c r="AI22" s="18">
        <f t="shared" si="14"/>
        <v>3764.2582000997718</v>
      </c>
      <c r="AJ22" s="21">
        <f t="shared" si="15"/>
        <v>0.25192808298894331</v>
      </c>
      <c r="AL22" s="21">
        <f t="shared" si="81"/>
        <v>0.47483722262497591</v>
      </c>
      <c r="AM22" s="18">
        <f>LAT_FEC!B149*$D$9/SUM($D$9:$D$13)</f>
        <v>9244.22331386923</v>
      </c>
      <c r="AN22" s="18">
        <f t="shared" si="16"/>
        <v>1888.8411834142257</v>
      </c>
      <c r="AO22" s="18">
        <f t="shared" si="17"/>
        <v>7096.6331761639867</v>
      </c>
      <c r="AP22" s="21">
        <f t="shared" si="18"/>
        <v>0.26616018279744591</v>
      </c>
      <c r="AQ22" s="21">
        <f t="shared" si="82"/>
        <v>1</v>
      </c>
      <c r="AR22" s="18">
        <f>LAT_FEC!$B149*$D$10/SUM($D$9:$D$13)</f>
        <v>10.457072907824333</v>
      </c>
      <c r="AS22" s="18">
        <f t="shared" si="19"/>
        <v>10.457072907824333</v>
      </c>
      <c r="AT22" s="18">
        <f t="shared" si="20"/>
        <v>10.457072907824333</v>
      </c>
      <c r="AU22" s="21">
        <f t="shared" si="21"/>
        <v>1</v>
      </c>
      <c r="AV22" s="18">
        <f t="shared" si="83"/>
        <v>0.73192667076680251</v>
      </c>
      <c r="AW22" s="18">
        <f>LAT_FEC!$B149*$D$11/SUM($D$9:$D$13)</f>
        <v>2338.7770760851377</v>
      </c>
      <c r="AX22" s="18">
        <f t="shared" si="22"/>
        <v>1148.6866951834836</v>
      </c>
      <c r="AY22" s="18">
        <f t="shared" si="23"/>
        <v>2200.4732980036488</v>
      </c>
      <c r="AZ22" s="21">
        <f t="shared" si="24"/>
        <v>0.52201801140946125</v>
      </c>
      <c r="BA22" s="18">
        <f t="shared" si="84"/>
        <v>0.62188575467418861</v>
      </c>
      <c r="BB22" s="18">
        <f>LAT_FEC!$B149*$D$12/SUM($D$9:$D$13)</f>
        <v>788.92166606596072</v>
      </c>
      <c r="BC22" s="18">
        <f t="shared" si="25"/>
        <v>490.61914568024821</v>
      </c>
      <c r="BD22" s="18">
        <f t="shared" si="26"/>
        <v>788.92166606596072</v>
      </c>
      <c r="BE22" s="21">
        <f t="shared" si="27"/>
        <v>0.62188575467418861</v>
      </c>
      <c r="BF22" s="18">
        <f t="shared" si="85"/>
        <v>1</v>
      </c>
      <c r="BG22" s="18">
        <f>LAT_FEC!$B149*$D$13/SUM($D$9:$D$13)</f>
        <v>1819.2594529506075</v>
      </c>
      <c r="BH22" s="18">
        <f t="shared" si="28"/>
        <v>1819.2594529506075</v>
      </c>
      <c r="BI22" s="18">
        <f t="shared" si="29"/>
        <v>1819.2594529506075</v>
      </c>
      <c r="BJ22" s="21">
        <f t="shared" si="30"/>
        <v>1</v>
      </c>
      <c r="BK22" s="21">
        <f t="shared" si="31"/>
        <v>0.44964571667794828</v>
      </c>
      <c r="BL22" s="18">
        <f t="shared" si="32"/>
        <v>2285.8939157867317</v>
      </c>
      <c r="BM22" s="21">
        <f t="shared" si="33"/>
        <v>0.1609598711168107</v>
      </c>
      <c r="BO22" s="21">
        <f t="shared" si="86"/>
        <v>0.84328207495347818</v>
      </c>
      <c r="BP22" s="18">
        <f>LAT_FEC!$B96*$D$14/SUM($D$14:D$26)</f>
        <v>21.380929571061145</v>
      </c>
      <c r="BQ22" s="18">
        <f t="shared" si="34"/>
        <v>16.734015284930486</v>
      </c>
      <c r="BR22" s="18">
        <f t="shared" si="35"/>
        <v>21.398860354646509</v>
      </c>
      <c r="BS22" s="21">
        <f t="shared" si="36"/>
        <v>0.7820049763209419</v>
      </c>
      <c r="BT22" s="21">
        <f t="shared" si="87"/>
        <v>0.62481027844166759</v>
      </c>
      <c r="BU22" s="18">
        <f>LAT_FEC!$B96*$D$15/SUM($D$14:D$26)</f>
        <v>300.65605378568938</v>
      </c>
      <c r="BV22" s="18">
        <f t="shared" si="37"/>
        <v>136.03581826547651</v>
      </c>
      <c r="BW22" s="18">
        <f t="shared" si="38"/>
        <v>277.85901737690358</v>
      </c>
      <c r="BX22" s="21">
        <f t="shared" si="39"/>
        <v>0.48958576025247325</v>
      </c>
      <c r="BY22" s="21">
        <f t="shared" si="88"/>
        <v>0.79226274384216255</v>
      </c>
      <c r="BZ22" s="18">
        <f>LAT_FEC!$B96*$D$16/SUM($D$14:$D$26)</f>
        <v>27.767408179343825</v>
      </c>
      <c r="CA22" s="18">
        <f t="shared" si="40"/>
        <v>17.571047568929007</v>
      </c>
      <c r="CB22" s="18">
        <f t="shared" si="41"/>
        <v>25.044386653656552</v>
      </c>
      <c r="CC22" s="21">
        <f t="shared" si="42"/>
        <v>0.70159624238046903</v>
      </c>
      <c r="CD22" s="21">
        <f t="shared" si="89"/>
        <v>0.33889558916836826</v>
      </c>
      <c r="CE22" s="18">
        <f>LAT_FEC!$B96*$D$17/SUM($D$14:$D$26)</f>
        <v>2200.4691654682133</v>
      </c>
      <c r="CF22" s="18">
        <f t="shared" si="43"/>
        <v>529.4433367162992</v>
      </c>
      <c r="CG22" s="18">
        <f t="shared" si="44"/>
        <v>2112.2692027087119</v>
      </c>
      <c r="CH22" s="21">
        <f t="shared" si="45"/>
        <v>0.25065144917956322</v>
      </c>
      <c r="CI22" s="21">
        <f t="shared" si="90"/>
        <v>0.73696010576752491</v>
      </c>
      <c r="CJ22" s="18">
        <f>LAT_FEC!$B96*$D$18/SUM($D$14:$D$26)</f>
        <v>121.31023870105611</v>
      </c>
      <c r="CK22" s="18">
        <f t="shared" si="46"/>
        <v>65.406447689768697</v>
      </c>
      <c r="CL22" s="18">
        <f t="shared" si="47"/>
        <v>108.64625555343349</v>
      </c>
      <c r="CM22" s="21">
        <f t="shared" si="48"/>
        <v>0.60201290285242315</v>
      </c>
      <c r="CN22" s="21">
        <f t="shared" si="91"/>
        <v>0.78235877055204506</v>
      </c>
      <c r="CO22" s="18">
        <f>LAT_FEC!$B96*$D$19/SUM($D$16:Y$28)</f>
        <v>6.1766544776979462</v>
      </c>
      <c r="CP22" s="18">
        <f t="shared" si="49"/>
        <v>3.5818455755829817</v>
      </c>
      <c r="CQ22" s="18">
        <f t="shared" si="50"/>
        <v>5.4236549946671184</v>
      </c>
      <c r="CR22" s="21">
        <f t="shared" si="51"/>
        <v>0.66041176643884603</v>
      </c>
      <c r="CS22" s="18">
        <f t="shared" si="92"/>
        <v>0.59571284602841201</v>
      </c>
      <c r="CT22" s="18">
        <f>LAT_FEC!$B96*$D$20/SUM($D$14:$D$26)</f>
        <v>201.61129847955627</v>
      </c>
      <c r="CU22" s="18">
        <f t="shared" si="52"/>
        <v>48.973855818399841</v>
      </c>
      <c r="CV22" s="18">
        <f t="shared" si="53"/>
        <v>142.16073167883343</v>
      </c>
      <c r="CW22" s="21">
        <f t="shared" si="54"/>
        <v>0.34449636858257426</v>
      </c>
      <c r="CX22" s="21">
        <f t="shared" si="93"/>
        <v>0.71321877970569469</v>
      </c>
      <c r="CY22" s="18">
        <f>LAT_FEC!$B96*$D$21/SUM($D$14:$D$26)</f>
        <v>1055.0124003133285</v>
      </c>
      <c r="CZ22" s="18">
        <f t="shared" si="55"/>
        <v>452.06600186195982</v>
      </c>
      <c r="DA22" s="18">
        <f t="shared" si="56"/>
        <v>906.49893098728853</v>
      </c>
      <c r="DB22" s="21">
        <f t="shared" si="57"/>
        <v>0.49869446770290671</v>
      </c>
      <c r="DC22" s="21">
        <f t="shared" si="94"/>
        <v>0.79398752963405428</v>
      </c>
      <c r="DD22" s="18">
        <f>LAT_FEC!$B96*$D$22/SUM($D$14:$D$26)</f>
        <v>77.691625998107625</v>
      </c>
      <c r="DE22" s="18">
        <f t="shared" si="58"/>
        <v>39.717064085035368</v>
      </c>
      <c r="DF22" s="18">
        <f t="shared" si="59"/>
        <v>65.480096193398168</v>
      </c>
      <c r="DG22" s="21">
        <f t="shared" si="60"/>
        <v>0.60655170645640744</v>
      </c>
      <c r="DH22" s="21">
        <f t="shared" si="95"/>
        <v>0.41680410985649607</v>
      </c>
      <c r="DI22" s="18">
        <f>LAT_FEC!$B96*$D$23/SUM($D$14:$D$26)</f>
        <v>8407.0952356900234</v>
      </c>
      <c r="DJ22" s="18">
        <f t="shared" si="61"/>
        <v>1645.5657024596687</v>
      </c>
      <c r="DK22" s="18">
        <f t="shared" si="62"/>
        <v>7401.7898611298115</v>
      </c>
      <c r="DL22" s="21">
        <f t="shared" si="63"/>
        <v>0.22231997034950801</v>
      </c>
      <c r="DM22" s="21">
        <f t="shared" si="96"/>
        <v>0.50108470218390078</v>
      </c>
      <c r="DN22" s="18">
        <f>LAT_FEC!$B96*$D$24/SUM($D$14:$D$26)</f>
        <v>453.73441124658456</v>
      </c>
      <c r="DO22" s="18">
        <f t="shared" si="64"/>
        <v>104.55436281861071</v>
      </c>
      <c r="DP22" s="18">
        <f t="shared" si="65"/>
        <v>396.42829768900503</v>
      </c>
      <c r="DQ22" s="21">
        <f t="shared" si="66"/>
        <v>0.26374091715479103</v>
      </c>
      <c r="DR22" s="21">
        <f t="shared" si="97"/>
        <v>0.73996273712260474</v>
      </c>
      <c r="DS22" s="18">
        <f>LAT_FEC!$B96*$D$25/SUM($D$14:$D$26)</f>
        <v>83.493035434321669</v>
      </c>
      <c r="DT22" s="18">
        <f t="shared" si="67"/>
        <v>35.746502522678455</v>
      </c>
      <c r="DU22" s="18">
        <f t="shared" si="68"/>
        <v>67.151538908642607</v>
      </c>
      <c r="DV22" s="21">
        <f t="shared" si="69"/>
        <v>0.53232588714475126</v>
      </c>
      <c r="DW22" s="21">
        <f t="shared" si="98"/>
        <v>0.67273552989212049</v>
      </c>
      <c r="DX22" s="18">
        <f>LAT_FEC!$B96*$D$26/SUM($D$14:$D$26)</f>
        <v>391.24194723906339</v>
      </c>
      <c r="DY22" s="18">
        <f t="shared" si="70"/>
        <v>173.40374771169832</v>
      </c>
      <c r="DZ22" s="18">
        <f t="shared" si="71"/>
        <v>349.28228096349835</v>
      </c>
      <c r="EA22" s="21">
        <f t="shared" si="72"/>
        <v>0.49645732738964743</v>
      </c>
      <c r="EB22" s="21">
        <f t="shared" si="73"/>
        <v>0.27516462416027243</v>
      </c>
      <c r="EC22" s="18">
        <f t="shared" si="74"/>
        <v>1468.2072893915501</v>
      </c>
      <c r="ED22" s="21">
        <f t="shared" si="75"/>
        <v>0.10999751603192098</v>
      </c>
    </row>
    <row r="23" spans="1:134" ht="19.5" customHeight="1" thickBot="1" x14ac:dyDescent="0.4">
      <c r="A23" s="77"/>
      <c r="B23" s="31" t="s">
        <v>42</v>
      </c>
      <c r="C23" s="34">
        <v>771.86199999999997</v>
      </c>
      <c r="D23" s="34">
        <v>6653.0339999999997</v>
      </c>
      <c r="E23" s="21">
        <f t="shared" si="0"/>
        <v>0.1160165422272004</v>
      </c>
      <c r="F23" s="21">
        <f t="shared" si="101"/>
        <v>0.24704874400623647</v>
      </c>
      <c r="G23" s="55">
        <v>0.34</v>
      </c>
      <c r="H23" s="23" t="s">
        <v>200</v>
      </c>
      <c r="I23" s="23" t="s">
        <v>184</v>
      </c>
      <c r="J23" s="56">
        <f>'Efficiency Assumptions'!G52</f>
        <v>2.5</v>
      </c>
      <c r="K23" s="84"/>
      <c r="L23" s="58">
        <f t="shared" si="100"/>
        <v>0.56291390728476831</v>
      </c>
      <c r="M23" s="47">
        <f t="shared" si="76"/>
        <v>2040</v>
      </c>
      <c r="N23" s="21">
        <f t="shared" si="77"/>
        <v>0.73476733732106925</v>
      </c>
      <c r="O23" s="18">
        <f>LAT_FEC!B203*D$5/SUM(D$5:D$8)</f>
        <v>337.3966008207741</v>
      </c>
      <c r="P23" s="18">
        <f t="shared" si="1"/>
        <v>173.70964529282753</v>
      </c>
      <c r="Q23" s="18">
        <f t="shared" si="2"/>
        <v>299.63654530692918</v>
      </c>
      <c r="R23" s="21">
        <f t="shared" si="3"/>
        <v>0.57973450840213803</v>
      </c>
      <c r="S23" s="21">
        <f t="shared" si="78"/>
        <v>0.49318371635198699</v>
      </c>
      <c r="T23" s="18">
        <f>LAT_FEC!B203*D$6/SUM(D$5:D$8)</f>
        <v>14682.349662777693</v>
      </c>
      <c r="U23" s="18">
        <f t="shared" si="4"/>
        <v>2917.443904701066</v>
      </c>
      <c r="V23" s="18">
        <f t="shared" si="5"/>
        <v>10411.110150809774</v>
      </c>
      <c r="W23" s="21">
        <f t="shared" si="6"/>
        <v>0.28022409353474642</v>
      </c>
      <c r="X23" s="21">
        <f t="shared" si="79"/>
        <v>0</v>
      </c>
      <c r="Y23" s="18">
        <f>LAT_FEC!$B203*$D$7/SUM($D$5:$D$8)</f>
        <v>11.504317184175926</v>
      </c>
      <c r="Z23" s="18">
        <f t="shared" si="7"/>
        <v>0</v>
      </c>
      <c r="AA23" s="18">
        <f t="shared" si="8"/>
        <v>11.504317184175926</v>
      </c>
      <c r="AB23" s="21">
        <f t="shared" si="9"/>
        <v>0</v>
      </c>
      <c r="AC23" s="21">
        <f t="shared" si="80"/>
        <v>0</v>
      </c>
      <c r="AD23" s="18">
        <f>LAT_FEC!$B203*$D$8/SUM($D$5:$D$8)</f>
        <v>12.246012950501244</v>
      </c>
      <c r="AE23" s="18">
        <f t="shared" si="10"/>
        <v>0</v>
      </c>
      <c r="AF23" s="18">
        <f t="shared" si="11"/>
        <v>12.246012950501244</v>
      </c>
      <c r="AG23" s="21">
        <f t="shared" si="12"/>
        <v>0</v>
      </c>
      <c r="AH23" s="21">
        <f t="shared" si="13"/>
        <v>0.28796445165846424</v>
      </c>
      <c r="AI23" s="18">
        <f t="shared" si="14"/>
        <v>4308.9995674817637</v>
      </c>
      <c r="AJ23" s="21">
        <f t="shared" si="15"/>
        <v>0.28643603836602838</v>
      </c>
      <c r="AL23" s="21">
        <f t="shared" si="81"/>
        <v>0.52352890350444292</v>
      </c>
      <c r="AM23" s="18">
        <f>LAT_FEC!B150*$D$9/SUM($D$9:$D$13)</f>
        <v>9087.1256773490404</v>
      </c>
      <c r="AN23" s="18">
        <f t="shared" si="16"/>
        <v>2047.139589406657</v>
      </c>
      <c r="AO23" s="18">
        <f t="shared" si="17"/>
        <v>6691.7828196464698</v>
      </c>
      <c r="AP23" s="21">
        <f t="shared" si="18"/>
        <v>0.30591841435684974</v>
      </c>
      <c r="AQ23" s="21">
        <f t="shared" si="82"/>
        <v>1</v>
      </c>
      <c r="AR23" s="18">
        <f>LAT_FEC!$B150*$D$10/SUM($D$9:$D$13)</f>
        <v>10.279363934018624</v>
      </c>
      <c r="AS23" s="18">
        <f t="shared" si="19"/>
        <v>10.279363934018624</v>
      </c>
      <c r="AT23" s="18">
        <f t="shared" si="20"/>
        <v>10.279363934018624</v>
      </c>
      <c r="AU23" s="21">
        <f t="shared" si="21"/>
        <v>1</v>
      </c>
      <c r="AV23" s="18">
        <f t="shared" si="83"/>
        <v>0.73992968825991645</v>
      </c>
      <c r="AW23" s="18">
        <f>LAT_FEC!$B150*$D$11/SUM($D$9:$D$13)</f>
        <v>2299.0315681581128</v>
      </c>
      <c r="AX23" s="18">
        <f t="shared" si="22"/>
        <v>1141.5122521073417</v>
      </c>
      <c r="AY23" s="18">
        <f t="shared" si="23"/>
        <v>2144.5583927441462</v>
      </c>
      <c r="AZ23" s="21">
        <f t="shared" si="24"/>
        <v>0.53228312923047949</v>
      </c>
      <c r="BA23" s="18">
        <f t="shared" si="84"/>
        <v>0.68172859676998532</v>
      </c>
      <c r="BB23" s="18">
        <f>LAT_FEC!$B150*$D$12/SUM($D$9:$D$13)</f>
        <v>775.51461985661751</v>
      </c>
      <c r="BC23" s="18">
        <f t="shared" si="25"/>
        <v>528.6904935694605</v>
      </c>
      <c r="BD23" s="18">
        <f t="shared" si="26"/>
        <v>775.51461985661763</v>
      </c>
      <c r="BE23" s="21">
        <f t="shared" si="27"/>
        <v>0.68172859676998532</v>
      </c>
      <c r="BF23" s="18">
        <f t="shared" si="85"/>
        <v>1</v>
      </c>
      <c r="BG23" s="18">
        <f>LAT_FEC!$B150*$D$13/SUM($D$9:$D$13)</f>
        <v>1788.3427008805054</v>
      </c>
      <c r="BH23" s="18">
        <f t="shared" si="28"/>
        <v>1788.3427008805054</v>
      </c>
      <c r="BI23" s="18">
        <f t="shared" si="29"/>
        <v>1788.3427008805054</v>
      </c>
      <c r="BJ23" s="21">
        <f t="shared" si="30"/>
        <v>1</v>
      </c>
      <c r="BK23" s="21">
        <f t="shared" si="31"/>
        <v>0.48341221547945562</v>
      </c>
      <c r="BL23" s="18">
        <f t="shared" si="32"/>
        <v>2549.8160331165363</v>
      </c>
      <c r="BM23" s="21">
        <f t="shared" si="33"/>
        <v>0.18264773262434966</v>
      </c>
      <c r="BO23" s="21">
        <f t="shared" si="86"/>
        <v>0.84303589823886582</v>
      </c>
      <c r="BP23" s="18">
        <f>LAT_FEC!$B97*$D$14/SUM($D$14:D$26)</f>
        <v>21.624097765746434</v>
      </c>
      <c r="BQ23" s="18">
        <f t="shared" si="34"/>
        <v>16.919392828856893</v>
      </c>
      <c r="BR23" s="18">
        <f t="shared" si="35"/>
        <v>21.644702812583386</v>
      </c>
      <c r="BS23" s="21">
        <f t="shared" si="36"/>
        <v>0.7816874629953624</v>
      </c>
      <c r="BT23" s="21">
        <f t="shared" si="87"/>
        <v>0.64418531592654282</v>
      </c>
      <c r="BU23" s="18">
        <f>LAT_FEC!$B97*$D$15/SUM($D$14:D$26)</f>
        <v>304.07545562120271</v>
      </c>
      <c r="BV23" s="18">
        <f t="shared" si="37"/>
        <v>141.8493474276587</v>
      </c>
      <c r="BW23" s="18">
        <f t="shared" si="38"/>
        <v>277.87838505200841</v>
      </c>
      <c r="BX23" s="21">
        <f t="shared" si="39"/>
        <v>0.51047276455529211</v>
      </c>
      <c r="BY23" s="21">
        <f t="shared" si="88"/>
        <v>0.81914851145214529</v>
      </c>
      <c r="BZ23" s="18">
        <f>LAT_FEC!$B97*$D$16/SUM($D$14:$D$26)</f>
        <v>28.083210656295041</v>
      </c>
      <c r="CA23" s="18">
        <f t="shared" si="40"/>
        <v>18.373947893520548</v>
      </c>
      <c r="CB23" s="18">
        <f t="shared" si="41"/>
        <v>24.954067648813052</v>
      </c>
      <c r="CC23" s="21">
        <f t="shared" si="42"/>
        <v>0.73631073507146283</v>
      </c>
      <c r="CD23" s="21">
        <f t="shared" si="89"/>
        <v>0.35333715320393533</v>
      </c>
      <c r="CE23" s="18">
        <f>LAT_FEC!$B97*$D$17/SUM($D$14:$D$26)</f>
        <v>2225.4953979642869</v>
      </c>
      <c r="CF23" s="18">
        <f t="shared" si="43"/>
        <v>558.28285324097044</v>
      </c>
      <c r="CG23" s="18">
        <f t="shared" si="44"/>
        <v>2124.1409671874658</v>
      </c>
      <c r="CH23" s="21">
        <f t="shared" si="45"/>
        <v>0.26282759094853392</v>
      </c>
      <c r="CI23" s="21">
        <f t="shared" si="90"/>
        <v>0.75976889713207818</v>
      </c>
      <c r="CJ23" s="18">
        <f>LAT_FEC!$B97*$D$18/SUM($D$14:$D$26)</f>
        <v>122.68991640139818</v>
      </c>
      <c r="CK23" s="18">
        <f t="shared" si="46"/>
        <v>68.197665444505986</v>
      </c>
      <c r="CL23" s="18">
        <f t="shared" si="47"/>
        <v>108.1371800607439</v>
      </c>
      <c r="CM23" s="21">
        <f t="shared" si="48"/>
        <v>0.63065881139305935</v>
      </c>
      <c r="CN23" s="21">
        <f t="shared" si="91"/>
        <v>0.80876604702067112</v>
      </c>
      <c r="CO23" s="18">
        <f>LAT_FEC!$B97*$D$19/SUM($D$16:Y$28)</f>
        <v>6.2469024018372918</v>
      </c>
      <c r="CP23" s="18">
        <f t="shared" si="49"/>
        <v>3.7448568973949814</v>
      </c>
      <c r="CQ23" s="18">
        <f t="shared" si="50"/>
        <v>5.3815977963701114</v>
      </c>
      <c r="CR23" s="21">
        <f t="shared" si="51"/>
        <v>0.69586339208048731</v>
      </c>
      <c r="CS23" s="18">
        <f t="shared" si="92"/>
        <v>0.65032636170122649</v>
      </c>
      <c r="CT23" s="18">
        <f>LAT_FEC!$B97*$D$20/SUM($D$14:$D$26)</f>
        <v>203.90425095931121</v>
      </c>
      <c r="CU23" s="18">
        <f t="shared" si="52"/>
        <v>54.071710118239999</v>
      </c>
      <c r="CV23" s="18">
        <f t="shared" si="53"/>
        <v>135.58700717682956</v>
      </c>
      <c r="CW23" s="21">
        <f t="shared" si="54"/>
        <v>0.39879713583264564</v>
      </c>
      <c r="CX23" s="21">
        <f t="shared" si="93"/>
        <v>0.73449725508090702</v>
      </c>
      <c r="CY23" s="18">
        <f>LAT_FEC!$B97*$D$21/SUM($D$14:$D$26)</f>
        <v>1067.0111985836347</v>
      </c>
      <c r="CZ23" s="18">
        <f t="shared" si="55"/>
        <v>470.84793165819076</v>
      </c>
      <c r="DA23" s="18">
        <f t="shared" si="56"/>
        <v>896.34788223648388</v>
      </c>
      <c r="DB23" s="21">
        <f t="shared" si="57"/>
        <v>0.52529597156337871</v>
      </c>
      <c r="DC23" s="21">
        <f t="shared" si="94"/>
        <v>0.81615725727873745</v>
      </c>
      <c r="DD23" s="18">
        <f>LAT_FEC!$B97*$D$22/SUM($D$14:$D$26)</f>
        <v>78.575223335320445</v>
      </c>
      <c r="DE23" s="18">
        <f t="shared" si="58"/>
        <v>41.290364447343229</v>
      </c>
      <c r="DF23" s="18">
        <f t="shared" si="59"/>
        <v>64.542420899276493</v>
      </c>
      <c r="DG23" s="21">
        <f t="shared" si="60"/>
        <v>0.63973993959383824</v>
      </c>
      <c r="DH23" s="21">
        <f t="shared" si="95"/>
        <v>0.4399284053418851</v>
      </c>
      <c r="DI23" s="18">
        <f>LAT_FEC!$B97*$D$23/SUM($D$14:$D$26)</f>
        <v>8502.7102632881215</v>
      </c>
      <c r="DJ23" s="18">
        <f t="shared" si="61"/>
        <v>1756.6152636348777</v>
      </c>
      <c r="DK23" s="18">
        <f t="shared" si="62"/>
        <v>7347.4699342954309</v>
      </c>
      <c r="DL23" s="21">
        <f t="shared" si="63"/>
        <v>0.23907757082960074</v>
      </c>
      <c r="DM23" s="21">
        <f t="shared" si="96"/>
        <v>0.52182626177344227</v>
      </c>
      <c r="DN23" s="18">
        <f>LAT_FEC!$B97*$D$24/SUM($D$14:$D$26)</f>
        <v>458.89479388021715</v>
      </c>
      <c r="DO23" s="18">
        <f t="shared" si="64"/>
        <v>110.12054716233578</v>
      </c>
      <c r="DP23" s="18">
        <f t="shared" si="65"/>
        <v>393.04183501335331</v>
      </c>
      <c r="DQ23" s="21">
        <f t="shared" si="66"/>
        <v>0.28017512985251181</v>
      </c>
      <c r="DR23" s="21">
        <f t="shared" si="97"/>
        <v>0.77068278300439919</v>
      </c>
      <c r="DS23" s="18">
        <f>LAT_FEC!$B97*$D$25/SUM($D$14:$D$26)</f>
        <v>84.442612983224805</v>
      </c>
      <c r="DT23" s="18">
        <f t="shared" si="67"/>
        <v>37.653970361887986</v>
      </c>
      <c r="DU23" s="18">
        <f t="shared" si="68"/>
        <v>65.663885344553762</v>
      </c>
      <c r="DV23" s="21">
        <f t="shared" si="69"/>
        <v>0.57343500410170367</v>
      </c>
      <c r="DW23" s="21">
        <f t="shared" si="98"/>
        <v>0.6931738445036425</v>
      </c>
      <c r="DX23" s="18">
        <f>LAT_FEC!$B97*$D$26/SUM($D$14:$D$26)</f>
        <v>395.6915946540218</v>
      </c>
      <c r="DY23" s="18">
        <f t="shared" si="70"/>
        <v>180.70397032609668</v>
      </c>
      <c r="DZ23" s="18">
        <f t="shared" si="71"/>
        <v>347.47390886495214</v>
      </c>
      <c r="EA23" s="21">
        <f t="shared" si="72"/>
        <v>0.52005047203796928</v>
      </c>
      <c r="EB23" s="21">
        <f t="shared" si="73"/>
        <v>0.29280346997845658</v>
      </c>
      <c r="EC23" s="18">
        <f t="shared" si="74"/>
        <v>1687.1811441057562</v>
      </c>
      <c r="ED23" s="21">
        <f t="shared" si="75"/>
        <v>0.12498151992859133</v>
      </c>
    </row>
    <row r="24" spans="1:134" ht="19.5" customHeight="1" thickBot="1" x14ac:dyDescent="0.4">
      <c r="A24" s="77"/>
      <c r="B24" s="31" t="s">
        <v>43</v>
      </c>
      <c r="C24" s="34">
        <v>57.597999999999999</v>
      </c>
      <c r="D24" s="34">
        <v>359.06700000000001</v>
      </c>
      <c r="E24" s="21">
        <f t="shared" si="0"/>
        <v>0.16041017414577224</v>
      </c>
      <c r="F24" s="21">
        <f t="shared" si="101"/>
        <v>0.34882099154881152</v>
      </c>
      <c r="G24" s="55">
        <v>0.38</v>
      </c>
      <c r="H24" s="23" t="s">
        <v>200</v>
      </c>
      <c r="I24" s="23" t="s">
        <v>182</v>
      </c>
      <c r="J24" s="56">
        <f>'Efficiency Assumptions'!G53</f>
        <v>2.8037383177570097</v>
      </c>
      <c r="K24" s="84"/>
      <c r="L24" s="58">
        <f t="shared" si="100"/>
        <v>0.63213929244759903</v>
      </c>
      <c r="M24" s="47">
        <f t="shared" si="76"/>
        <v>2041</v>
      </c>
      <c r="N24" s="21">
        <f t="shared" si="77"/>
        <v>0.76385336582049246</v>
      </c>
      <c r="O24" s="18">
        <f>LAT_FEC!B204*D$5/SUM(D$5:D$8)</f>
        <v>339.76581887294429</v>
      </c>
      <c r="P24" s="18">
        <f t="shared" si="1"/>
        <v>181.85408903910908</v>
      </c>
      <c r="Q24" s="18">
        <f t="shared" si="2"/>
        <v>294.75884853461099</v>
      </c>
      <c r="R24" s="21">
        <f t="shared" si="3"/>
        <v>0.61695887992232923</v>
      </c>
      <c r="S24" s="21">
        <f t="shared" si="78"/>
        <v>0.54719281495020966</v>
      </c>
      <c r="T24" s="18">
        <f>LAT_FEC!B204*D$6/SUM(D$5:D$8)</f>
        <v>14785.449954199439</v>
      </c>
      <c r="U24" s="18">
        <f t="shared" si="4"/>
        <v>3259.666390307752</v>
      </c>
      <c r="V24" s="18">
        <f t="shared" si="5"/>
        <v>10001.780194997567</v>
      </c>
      <c r="W24" s="21">
        <f t="shared" si="6"/>
        <v>0.32590862094110884</v>
      </c>
      <c r="X24" s="21">
        <f t="shared" si="79"/>
        <v>0</v>
      </c>
      <c r="Y24" s="18">
        <f>LAT_FEC!$B204*$D$7/SUM($D$5:$D$8)</f>
        <v>11.585101151424961</v>
      </c>
      <c r="Z24" s="18">
        <f t="shared" si="7"/>
        <v>0</v>
      </c>
      <c r="AA24" s="18">
        <f t="shared" si="8"/>
        <v>11.585101151424961</v>
      </c>
      <c r="AB24" s="21">
        <f t="shared" si="9"/>
        <v>0</v>
      </c>
      <c r="AC24" s="21">
        <f t="shared" si="80"/>
        <v>0</v>
      </c>
      <c r="AD24" s="18">
        <f>LAT_FEC!$B204*$D$8/SUM($D$5:$D$8)</f>
        <v>12.332005147455385</v>
      </c>
      <c r="AE24" s="18">
        <f t="shared" si="10"/>
        <v>0</v>
      </c>
      <c r="AF24" s="18">
        <f t="shared" si="11"/>
        <v>12.332005147455385</v>
      </c>
      <c r="AG24" s="21">
        <f t="shared" si="12"/>
        <v>0</v>
      </c>
      <c r="AH24" s="21">
        <f t="shared" si="13"/>
        <v>0.33346592722097829</v>
      </c>
      <c r="AI24" s="18">
        <f t="shared" si="14"/>
        <v>4828.6767295402042</v>
      </c>
      <c r="AJ24" s="21">
        <f t="shared" si="15"/>
        <v>0.31874278006469042</v>
      </c>
      <c r="AL24" s="21">
        <f t="shared" si="81"/>
        <v>0.56911461091182014</v>
      </c>
      <c r="AM24" s="18">
        <f>LAT_FEC!B151*$D$9/SUM($D$9:$D$13)</f>
        <v>8934.6111265557647</v>
      </c>
      <c r="AN24" s="18">
        <f t="shared" si="16"/>
        <v>2188.0419755400326</v>
      </c>
      <c r="AO24" s="18">
        <f t="shared" si="17"/>
        <v>6317.8197958012952</v>
      </c>
      <c r="AP24" s="21">
        <f t="shared" si="18"/>
        <v>0.34632864599812807</v>
      </c>
      <c r="AQ24" s="21">
        <f t="shared" si="82"/>
        <v>1</v>
      </c>
      <c r="AR24" s="18">
        <f>LAT_FEC!$B151*$D$10/SUM($D$9:$D$13)</f>
        <v>10.106839350503147</v>
      </c>
      <c r="AS24" s="18">
        <f t="shared" si="19"/>
        <v>10.106839350503147</v>
      </c>
      <c r="AT24" s="18">
        <f t="shared" si="20"/>
        <v>10.106839350503147</v>
      </c>
      <c r="AU24" s="21">
        <f t="shared" si="21"/>
        <v>1</v>
      </c>
      <c r="AV24" s="18">
        <f t="shared" si="83"/>
        <v>0.74742220458360453</v>
      </c>
      <c r="AW24" s="18">
        <f>LAT_FEC!$B151*$D$11/SUM($D$9:$D$13)</f>
        <v>2260.445575257057</v>
      </c>
      <c r="AX24" s="18">
        <f t="shared" si="22"/>
        <v>1133.718518261285</v>
      </c>
      <c r="AY24" s="18">
        <f t="shared" si="23"/>
        <v>2091.5176116288253</v>
      </c>
      <c r="AZ24" s="21">
        <f t="shared" si="24"/>
        <v>0.54205544909486625</v>
      </c>
      <c r="BA24" s="18">
        <f t="shared" si="84"/>
        <v>0.73775414858771349</v>
      </c>
      <c r="BB24" s="18">
        <f>LAT_FEC!$B151*$D$12/SUM($D$9:$D$13)</f>
        <v>762.4987039244902</v>
      </c>
      <c r="BC24" s="18">
        <f t="shared" si="25"/>
        <v>562.5365821130473</v>
      </c>
      <c r="BD24" s="18">
        <f t="shared" si="26"/>
        <v>762.4987039244902</v>
      </c>
      <c r="BE24" s="21">
        <f t="shared" si="27"/>
        <v>0.73775414858771349</v>
      </c>
      <c r="BF24" s="18">
        <f t="shared" si="85"/>
        <v>1</v>
      </c>
      <c r="BG24" s="18">
        <f>LAT_FEC!$B151*$D$13/SUM($D$9:$D$13)</f>
        <v>1758.3278982494503</v>
      </c>
      <c r="BH24" s="18">
        <f t="shared" si="28"/>
        <v>1758.3278982494503</v>
      </c>
      <c r="BI24" s="18">
        <f t="shared" si="29"/>
        <v>1758.3278982494503</v>
      </c>
      <c r="BJ24" s="21">
        <f t="shared" si="30"/>
        <v>1</v>
      </c>
      <c r="BK24" s="21">
        <f t="shared" si="31"/>
        <v>0.51669029876481387</v>
      </c>
      <c r="BL24" s="18">
        <f t="shared" si="32"/>
        <v>2785.7192943827013</v>
      </c>
      <c r="BM24" s="21">
        <f t="shared" si="33"/>
        <v>0.20295215611348211</v>
      </c>
      <c r="BO24" s="21">
        <f t="shared" si="86"/>
        <v>0.84280542478877873</v>
      </c>
      <c r="BP24" s="18">
        <f>LAT_FEC!$B98*$D$14/SUM($D$14:D$26)</f>
        <v>21.874716013895959</v>
      </c>
      <c r="BQ24" s="18">
        <f t="shared" si="34"/>
        <v>17.110805525992212</v>
      </c>
      <c r="BR24" s="18">
        <f t="shared" si="35"/>
        <v>21.897899427626008</v>
      </c>
      <c r="BS24" s="21">
        <f t="shared" si="36"/>
        <v>0.78139026907784215</v>
      </c>
      <c r="BT24" s="21">
        <f t="shared" si="87"/>
        <v>0.66232444716702821</v>
      </c>
      <c r="BU24" s="18">
        <f>LAT_FEC!$B98*$D$15/SUM($D$14:D$26)</f>
        <v>307.59961921029691</v>
      </c>
      <c r="BV24" s="18">
        <f t="shared" si="37"/>
        <v>147.53386985969405</v>
      </c>
      <c r="BW24" s="18">
        <f t="shared" si="38"/>
        <v>278.12443624531795</v>
      </c>
      <c r="BX24" s="21">
        <f t="shared" si="39"/>
        <v>0.53045993315582929</v>
      </c>
      <c r="BY24" s="21">
        <f t="shared" si="88"/>
        <v>0.84431927396341122</v>
      </c>
      <c r="BZ24" s="18">
        <f>LAT_FEC!$B98*$D$16/SUM($D$14:$D$26)</f>
        <v>28.408688515919014</v>
      </c>
      <c r="CA24" s="18">
        <f t="shared" si="40"/>
        <v>19.158035106683801</v>
      </c>
      <c r="CB24" s="18">
        <f t="shared" si="41"/>
        <v>24.887987129651275</v>
      </c>
      <c r="CC24" s="21">
        <f t="shared" si="42"/>
        <v>0.76977037182163788</v>
      </c>
      <c r="CD24" s="21">
        <f t="shared" si="89"/>
        <v>0.36685751029039348</v>
      </c>
      <c r="CE24" s="18">
        <f>LAT_FEC!$B98*$D$17/SUM($D$14:$D$26)</f>
        <v>2251.2883704131141</v>
      </c>
      <c r="CF24" s="18">
        <f t="shared" si="43"/>
        <v>586.3633608911955</v>
      </c>
      <c r="CG24" s="18">
        <f t="shared" si="44"/>
        <v>2137.2511774541767</v>
      </c>
      <c r="CH24" s="21">
        <f t="shared" si="45"/>
        <v>0.27435397723802041</v>
      </c>
      <c r="CI24" s="21">
        <f t="shared" si="90"/>
        <v>0.78112274794766767</v>
      </c>
      <c r="CJ24" s="18">
        <f>LAT_FEC!$B98*$D$18/SUM($D$14:$D$26)</f>
        <v>124.11186390862954</v>
      </c>
      <c r="CK24" s="18">
        <f t="shared" si="46"/>
        <v>70.927019490083268</v>
      </c>
      <c r="CL24" s="18">
        <f t="shared" si="47"/>
        <v>107.7381031421762</v>
      </c>
      <c r="CM24" s="21">
        <f t="shared" si="48"/>
        <v>0.65832808840605517</v>
      </c>
      <c r="CN24" s="21">
        <f t="shared" si="91"/>
        <v>0.8334888406638894</v>
      </c>
      <c r="CO24" s="18">
        <f>LAT_FEC!$B98*$D$19/SUM($D$16:Y$28)</f>
        <v>6.3193025432568106</v>
      </c>
      <c r="CP24" s="18">
        <f t="shared" si="49"/>
        <v>3.9040604423932943</v>
      </c>
      <c r="CQ24" s="18">
        <f t="shared" si="50"/>
        <v>5.3457199627458429</v>
      </c>
      <c r="CR24" s="21">
        <f t="shared" si="51"/>
        <v>0.73031518104213666</v>
      </c>
      <c r="CS24" s="18">
        <f t="shared" si="92"/>
        <v>0.70145615843410059</v>
      </c>
      <c r="CT24" s="18">
        <f>LAT_FEC!$B98*$D$20/SUM($D$14:$D$26)</f>
        <v>206.26745365656373</v>
      </c>
      <c r="CU24" s="18">
        <f t="shared" si="52"/>
        <v>58.998871668016065</v>
      </c>
      <c r="CV24" s="18">
        <f t="shared" si="53"/>
        <v>129.40148290487099</v>
      </c>
      <c r="CW24" s="21">
        <f t="shared" si="54"/>
        <v>0.45593659627060734</v>
      </c>
      <c r="CX24" s="21">
        <f t="shared" si="93"/>
        <v>0.75441840660021209</v>
      </c>
      <c r="CY24" s="18">
        <f>LAT_FEC!$B98*$D$21/SUM($D$14:$D$26)</f>
        <v>1079.3776094388681</v>
      </c>
      <c r="CZ24" s="18">
        <f t="shared" si="55"/>
        <v>489.22336802248594</v>
      </c>
      <c r="DA24" s="18">
        <f t="shared" si="56"/>
        <v>887.3587170418823</v>
      </c>
      <c r="DB24" s="21">
        <f t="shared" si="57"/>
        <v>0.55132536439532731</v>
      </c>
      <c r="DC24" s="21">
        <f t="shared" si="94"/>
        <v>0.83691280934549583</v>
      </c>
      <c r="DD24" s="18">
        <f>LAT_FEC!$B98*$D$22/SUM($D$14:$D$26)</f>
        <v>79.485891841982934</v>
      </c>
      <c r="DE24" s="18">
        <f t="shared" si="58"/>
        <v>42.831127966157226</v>
      </c>
      <c r="DF24" s="18">
        <f t="shared" si="59"/>
        <v>63.697125757572628</v>
      </c>
      <c r="DG24" s="21">
        <f t="shared" si="60"/>
        <v>0.67241853469448343</v>
      </c>
      <c r="DH24" s="21">
        <f t="shared" si="95"/>
        <v>0.46157763471657287</v>
      </c>
      <c r="DI24" s="18">
        <f>LAT_FEC!$B98*$D$23/SUM($D$14:$D$26)</f>
        <v>8601.2546915363037</v>
      </c>
      <c r="DJ24" s="18">
        <f t="shared" si="61"/>
        <v>1864.4203404973982</v>
      </c>
      <c r="DK24" s="18">
        <f t="shared" si="62"/>
        <v>7301.4559229814968</v>
      </c>
      <c r="DL24" s="21">
        <f t="shared" si="63"/>
        <v>0.25534911943097449</v>
      </c>
      <c r="DM24" s="21">
        <f t="shared" si="96"/>
        <v>0.54124474660583255</v>
      </c>
      <c r="DN24" s="18">
        <f>LAT_FEC!$B98*$D$24/SUM($D$14:$D$26)</f>
        <v>464.21327747999879</v>
      </c>
      <c r="DO24" s="18">
        <f t="shared" si="64"/>
        <v>115.54217807616438</v>
      </c>
      <c r="DP24" s="18">
        <f t="shared" si="65"/>
        <v>390.11995447813064</v>
      </c>
      <c r="DQ24" s="21">
        <f t="shared" si="66"/>
        <v>0.29617090012923564</v>
      </c>
      <c r="DR24" s="21">
        <f t="shared" si="97"/>
        <v>0.79944324059827987</v>
      </c>
      <c r="DS24" s="18">
        <f>LAT_FEC!$B98*$D$25/SUM($D$14:$D$26)</f>
        <v>85.421283167029983</v>
      </c>
      <c r="DT24" s="18">
        <f t="shared" si="67"/>
        <v>39.511833369319092</v>
      </c>
      <c r="DU24" s="18">
        <f t="shared" si="68"/>
        <v>64.292721042598515</v>
      </c>
      <c r="DV24" s="21">
        <f t="shared" si="69"/>
        <v>0.61456153556076254</v>
      </c>
      <c r="DW24" s="21">
        <f t="shared" si="98"/>
        <v>0.7123084279263654</v>
      </c>
      <c r="DX24" s="18">
        <f>LAT_FEC!$B98*$D$26/SUM($D$14:$D$26)</f>
        <v>400.27756792023456</v>
      </c>
      <c r="DY24" s="18">
        <f t="shared" si="70"/>
        <v>187.84430717310772</v>
      </c>
      <c r="DZ24" s="18">
        <f t="shared" si="71"/>
        <v>346.026268828345</v>
      </c>
      <c r="EA24" s="21">
        <f t="shared" si="72"/>
        <v>0.54286140705199637</v>
      </c>
      <c r="EB24" s="21">
        <f t="shared" si="73"/>
        <v>0.30987360921377172</v>
      </c>
      <c r="EC24" s="18">
        <f t="shared" si="74"/>
        <v>1898.302819249504</v>
      </c>
      <c r="ED24" s="21">
        <f t="shared" si="75"/>
        <v>0.13900971540443588</v>
      </c>
    </row>
    <row r="25" spans="1:134" ht="19.5" customHeight="1" thickBot="1" x14ac:dyDescent="0.4">
      <c r="A25" s="77"/>
      <c r="B25" s="31" t="s">
        <v>44</v>
      </c>
      <c r="C25" s="34">
        <v>19.667000000000002</v>
      </c>
      <c r="D25" s="34">
        <v>66.072999999999993</v>
      </c>
      <c r="E25" s="21">
        <f t="shared" si="0"/>
        <v>0.29765562332571555</v>
      </c>
      <c r="F25" s="21">
        <f t="shared" si="101"/>
        <v>0.51444699629081292</v>
      </c>
      <c r="G25" s="55">
        <v>0.85</v>
      </c>
      <c r="H25" s="23" t="s">
        <v>200</v>
      </c>
      <c r="I25" s="23" t="s">
        <v>181</v>
      </c>
      <c r="J25" s="56">
        <f>'Efficiency Assumptions'!G54</f>
        <v>2.5</v>
      </c>
      <c r="K25" s="84"/>
      <c r="L25" s="58">
        <f t="shared" si="100"/>
        <v>0.93406593406593408</v>
      </c>
      <c r="M25" s="47">
        <f t="shared" si="76"/>
        <v>2042</v>
      </c>
      <c r="N25" s="21">
        <f t="shared" si="77"/>
        <v>0.78999288737848583</v>
      </c>
      <c r="O25" s="18">
        <f>LAT_FEC!B205*D$5/SUM(D$5:D$8)</f>
        <v>342.22341909263616</v>
      </c>
      <c r="P25" s="18">
        <f t="shared" si="1"/>
        <v>189.43764903947752</v>
      </c>
      <c r="Q25" s="18">
        <f t="shared" si="2"/>
        <v>290.57103181414953</v>
      </c>
      <c r="R25" s="21">
        <f t="shared" si="3"/>
        <v>0.65194953487532314</v>
      </c>
      <c r="S25" s="21">
        <f t="shared" si="78"/>
        <v>0.59573062055553738</v>
      </c>
      <c r="T25" s="18">
        <f>LAT_FEC!B205*D$6/SUM(D$5:D$8)</f>
        <v>14892.396336199305</v>
      </c>
      <c r="U25" s="18">
        <f t="shared" si="4"/>
        <v>3574.4788521043615</v>
      </c>
      <c r="V25" s="18">
        <f t="shared" si="5"/>
        <v>9637.4242549907249</v>
      </c>
      <c r="W25" s="21">
        <f t="shared" si="6"/>
        <v>0.37089566231903959</v>
      </c>
      <c r="X25" s="21">
        <f t="shared" si="79"/>
        <v>0</v>
      </c>
      <c r="Y25" s="18">
        <f>LAT_FEC!$B205*$D$7/SUM($D$5:$D$8)</f>
        <v>11.668898713019999</v>
      </c>
      <c r="Z25" s="18">
        <f t="shared" si="7"/>
        <v>0</v>
      </c>
      <c r="AA25" s="18">
        <f t="shared" si="8"/>
        <v>11.668898713019999</v>
      </c>
      <c r="AB25" s="21">
        <f t="shared" si="9"/>
        <v>0</v>
      </c>
      <c r="AC25" s="21">
        <f t="shared" si="80"/>
        <v>0</v>
      </c>
      <c r="AD25" s="18">
        <f>LAT_FEC!$B205*$D$8/SUM($D$5:$D$8)</f>
        <v>12.42120522844105</v>
      </c>
      <c r="AE25" s="18">
        <f t="shared" si="10"/>
        <v>0</v>
      </c>
      <c r="AF25" s="18">
        <f t="shared" si="11"/>
        <v>12.42120522844105</v>
      </c>
      <c r="AG25" s="21">
        <f t="shared" si="12"/>
        <v>0</v>
      </c>
      <c r="AH25" s="21">
        <f t="shared" si="13"/>
        <v>0.37820379883834299</v>
      </c>
      <c r="AI25" s="18">
        <f t="shared" si="14"/>
        <v>5306.6244684870653</v>
      </c>
      <c r="AJ25" s="21">
        <f t="shared" si="15"/>
        <v>0.34777674635945077</v>
      </c>
      <c r="AL25" s="21">
        <f t="shared" si="81"/>
        <v>0.61008234157106567</v>
      </c>
      <c r="AM25" s="18">
        <f>LAT_FEC!B152*$D$9/SUM($D$9:$D$13)</f>
        <v>8786.4983610700074</v>
      </c>
      <c r="AN25" s="18">
        <f t="shared" si="16"/>
        <v>2306.6651074560496</v>
      </c>
      <c r="AO25" s="18">
        <f t="shared" si="17"/>
        <v>5981.8399155992456</v>
      </c>
      <c r="AP25" s="21">
        <f t="shared" si="18"/>
        <v>0.38561130688917367</v>
      </c>
      <c r="AQ25" s="21">
        <f t="shared" si="82"/>
        <v>1</v>
      </c>
      <c r="AR25" s="18">
        <f>LAT_FEC!$B152*$D$10/SUM($D$9:$D$13)</f>
        <v>9.9392940700964818</v>
      </c>
      <c r="AS25" s="18">
        <f t="shared" si="19"/>
        <v>9.9392940700964818</v>
      </c>
      <c r="AT25" s="18">
        <f t="shared" si="20"/>
        <v>9.9392940700964818</v>
      </c>
      <c r="AU25" s="21">
        <f t="shared" si="21"/>
        <v>1</v>
      </c>
      <c r="AV25" s="18">
        <f t="shared" si="83"/>
        <v>0.75415570523910114</v>
      </c>
      <c r="AW25" s="18">
        <f>LAT_FEC!$B152*$D$11/SUM($D$9:$D$13)</f>
        <v>2222.9732285998798</v>
      </c>
      <c r="AX25" s="18">
        <f t="shared" si="22"/>
        <v>1124.9687098615443</v>
      </c>
      <c r="AY25" s="18">
        <f t="shared" si="23"/>
        <v>2041.7791814348695</v>
      </c>
      <c r="AZ25" s="21">
        <f t="shared" si="24"/>
        <v>0.55097471856430991</v>
      </c>
      <c r="BA25" s="18">
        <f t="shared" si="84"/>
        <v>0.78810413430566806</v>
      </c>
      <c r="BB25" s="18">
        <f>LAT_FEC!$B152*$D$12/SUM($D$9:$D$13)</f>
        <v>749.85844570643633</v>
      </c>
      <c r="BC25" s="18">
        <f t="shared" si="25"/>
        <v>590.96654120526478</v>
      </c>
      <c r="BD25" s="18">
        <f t="shared" si="26"/>
        <v>749.85844570643633</v>
      </c>
      <c r="BE25" s="21">
        <f t="shared" si="27"/>
        <v>0.78810413430566806</v>
      </c>
      <c r="BF25" s="18">
        <f t="shared" si="85"/>
        <v>1</v>
      </c>
      <c r="BG25" s="18">
        <f>LAT_FEC!$B152*$D$13/SUM($D$9:$D$13)</f>
        <v>1729.179365207377</v>
      </c>
      <c r="BH25" s="18">
        <f t="shared" si="28"/>
        <v>1729.179365207377</v>
      </c>
      <c r="BI25" s="18">
        <f t="shared" si="29"/>
        <v>1729.179365207377</v>
      </c>
      <c r="BJ25" s="21">
        <f t="shared" si="30"/>
        <v>1</v>
      </c>
      <c r="BK25" s="21">
        <f t="shared" si="31"/>
        <v>0.54807764961944394</v>
      </c>
      <c r="BL25" s="18">
        <f t="shared" si="32"/>
        <v>2985.8524926357732</v>
      </c>
      <c r="BM25" s="21">
        <f t="shared" si="33"/>
        <v>0.22119967710203256</v>
      </c>
      <c r="BO25" s="21">
        <f t="shared" si="86"/>
        <v>0.84259829903019612</v>
      </c>
      <c r="BP25" s="18">
        <f>LAT_FEC!$B99*$D$14/SUM($D$14:D$26)</f>
        <v>22.132878913586648</v>
      </c>
      <c r="BQ25" s="18">
        <f t="shared" si="34"/>
        <v>17.30849056118366</v>
      </c>
      <c r="BR25" s="18">
        <f t="shared" si="35"/>
        <v>22.158463303863865</v>
      </c>
      <c r="BS25" s="21">
        <f t="shared" si="36"/>
        <v>0.78112323602176448</v>
      </c>
      <c r="BT25" s="21">
        <f t="shared" si="87"/>
        <v>0.67862602687954698</v>
      </c>
      <c r="BU25" s="18">
        <f>LAT_FEC!$B99*$D$15/SUM($D$14:D$26)</f>
        <v>311.22987477972396</v>
      </c>
      <c r="BV25" s="18">
        <f t="shared" si="37"/>
        <v>152.94910672988311</v>
      </c>
      <c r="BW25" s="18">
        <f t="shared" si="38"/>
        <v>278.70211190368508</v>
      </c>
      <c r="BX25" s="21">
        <f t="shared" si="39"/>
        <v>0.54879062697142333</v>
      </c>
      <c r="BY25" s="21">
        <f t="shared" si="88"/>
        <v>0.86694015839620397</v>
      </c>
      <c r="BZ25" s="18">
        <f>LAT_FEC!$B99*$D$16/SUM($D$14:$D$26)</f>
        <v>28.743964612715899</v>
      </c>
      <c r="CA25" s="18">
        <f t="shared" si="40"/>
        <v>19.903473122775022</v>
      </c>
      <c r="CB25" s="18">
        <f t="shared" si="41"/>
        <v>24.858643867262806</v>
      </c>
      <c r="CC25" s="21">
        <f t="shared" si="42"/>
        <v>0.80066608738003531</v>
      </c>
      <c r="CD25" s="21">
        <f t="shared" si="89"/>
        <v>0.3790082123204162</v>
      </c>
      <c r="CE25" s="18">
        <f>LAT_FEC!$B99*$D$17/SUM($D$14:$D$26)</f>
        <v>2277.8578186005361</v>
      </c>
      <c r="CF25" s="18">
        <f t="shared" si="43"/>
        <v>612.93372223819313</v>
      </c>
      <c r="CG25" s="18">
        <f t="shared" si="44"/>
        <v>2152.0104311212217</v>
      </c>
      <c r="CH25" s="21">
        <f t="shared" si="45"/>
        <v>0.28481912233057705</v>
      </c>
      <c r="CI25" s="21">
        <f t="shared" si="90"/>
        <v>0.80031338594595425</v>
      </c>
      <c r="CJ25" s="18">
        <f>LAT_FEC!$B99*$D$18/SUM($D$14:$D$26)</f>
        <v>125.57661794942777</v>
      </c>
      <c r="CK25" s="18">
        <f t="shared" si="46"/>
        <v>73.527193602521635</v>
      </c>
      <c r="CL25" s="18">
        <f t="shared" si="47"/>
        <v>107.50711832213128</v>
      </c>
      <c r="CM25" s="21">
        <f t="shared" si="48"/>
        <v>0.68392860631057784</v>
      </c>
      <c r="CN25" s="21">
        <f t="shared" si="91"/>
        <v>0.85570713689582578</v>
      </c>
      <c r="CO25" s="18">
        <f>LAT_FEC!$B99*$D$19/SUM($D$16:Y$28)</f>
        <v>6.3938822300309646</v>
      </c>
      <c r="CP25" s="18">
        <f t="shared" si="49"/>
        <v>4.0554344107597942</v>
      </c>
      <c r="CQ25" s="18">
        <f t="shared" si="50"/>
        <v>5.3194711447213399</v>
      </c>
      <c r="CR25" s="21">
        <f t="shared" si="51"/>
        <v>0.76237548816936718</v>
      </c>
      <c r="CS25" s="18">
        <f t="shared" si="92"/>
        <v>0.74740634458554722</v>
      </c>
      <c r="CT25" s="18">
        <f>LAT_FEC!$B99*$D$20/SUM($D$14:$D$26)</f>
        <v>208.70179858309743</v>
      </c>
      <c r="CU25" s="18">
        <f t="shared" si="52"/>
        <v>63.605612371851571</v>
      </c>
      <c r="CV25" s="18">
        <f t="shared" si="53"/>
        <v>123.87524897971366</v>
      </c>
      <c r="CW25" s="21">
        <f t="shared" si="54"/>
        <v>0.51346506179186691</v>
      </c>
      <c r="CX25" s="21">
        <f t="shared" si="93"/>
        <v>0.77232148228513242</v>
      </c>
      <c r="CY25" s="18">
        <f>LAT_FEC!$B99*$D$21/SUM($D$14:$D$26)</f>
        <v>1092.1163006903078</v>
      </c>
      <c r="CZ25" s="18">
        <f t="shared" si="55"/>
        <v>506.74388507568273</v>
      </c>
      <c r="DA25" s="18">
        <f t="shared" si="56"/>
        <v>880.21108513897707</v>
      </c>
      <c r="DB25" s="21">
        <f t="shared" si="57"/>
        <v>0.57570722935814045</v>
      </c>
      <c r="DC25" s="21">
        <f t="shared" si="94"/>
        <v>0.85556575815587899</v>
      </c>
      <c r="DD25" s="18">
        <f>LAT_FEC!$B99*$D$22/SUM($D$14:$D$26)</f>
        <v>80.423975257986655</v>
      </c>
      <c r="DE25" s="18">
        <f t="shared" si="58"/>
        <v>44.302494058151865</v>
      </c>
      <c r="DF25" s="18">
        <f t="shared" si="59"/>
        <v>63.000054941388555</v>
      </c>
      <c r="DG25" s="21">
        <f t="shared" si="60"/>
        <v>0.70321357813684815</v>
      </c>
      <c r="DH25" s="21">
        <f t="shared" si="95"/>
        <v>0.48103372848904558</v>
      </c>
      <c r="DI25" s="18">
        <f>LAT_FEC!$B99*$D$23/SUM($D$14:$D$26)</f>
        <v>8702.7657169015965</v>
      </c>
      <c r="DJ25" s="18">
        <f t="shared" si="61"/>
        <v>1965.939226390554</v>
      </c>
      <c r="DK25" s="18">
        <f t="shared" si="62"/>
        <v>7268.3540567482851</v>
      </c>
      <c r="DL25" s="21">
        <f t="shared" si="63"/>
        <v>0.27047928747572259</v>
      </c>
      <c r="DM25" s="21">
        <f t="shared" si="96"/>
        <v>0.55869607733357007</v>
      </c>
      <c r="DN25" s="18">
        <f>LAT_FEC!$B99*$D$24/SUM($D$14:$D$26)</f>
        <v>469.69186955465818</v>
      </c>
      <c r="DO25" s="18">
        <f t="shared" si="64"/>
        <v>120.6751820632897</v>
      </c>
      <c r="DP25" s="18">
        <f t="shared" si="65"/>
        <v>387.925115327345</v>
      </c>
      <c r="DQ25" s="21">
        <f t="shared" si="66"/>
        <v>0.31107854917168665</v>
      </c>
      <c r="DR25" s="21">
        <f t="shared" si="97"/>
        <v>0.82529017261610083</v>
      </c>
      <c r="DS25" s="18">
        <f>LAT_FEC!$B99*$D$25/SUM($D$14:$D$26)</f>
        <v>86.42941539346397</v>
      </c>
      <c r="DT25" s="18">
        <f t="shared" si="67"/>
        <v>41.270687631935644</v>
      </c>
      <c r="DU25" s="18">
        <f t="shared" si="68"/>
        <v>63.112686214488591</v>
      </c>
      <c r="DV25" s="21">
        <f t="shared" si="69"/>
        <v>0.65392063160926361</v>
      </c>
      <c r="DW25" s="21">
        <f t="shared" si="98"/>
        <v>0.72950461735770722</v>
      </c>
      <c r="DX25" s="18">
        <f>LAT_FEC!$B99*$D$26/SUM($D$14:$D$26)</f>
        <v>405.00159805391854</v>
      </c>
      <c r="DY25" s="18">
        <f t="shared" si="70"/>
        <v>194.64958607825636</v>
      </c>
      <c r="DZ25" s="18">
        <f t="shared" si="71"/>
        <v>345.13179522098108</v>
      </c>
      <c r="EA25" s="21">
        <f t="shared" si="72"/>
        <v>0.5639862474960502</v>
      </c>
      <c r="EB25" s="21">
        <f t="shared" si="73"/>
        <v>0.32569612155402827</v>
      </c>
      <c r="EC25" s="18">
        <f t="shared" si="74"/>
        <v>2094.8994292869847</v>
      </c>
      <c r="ED25" s="21">
        <f t="shared" si="75"/>
        <v>0.15161681018424916</v>
      </c>
    </row>
    <row r="26" spans="1:134" ht="19.5" customHeight="1" thickBot="1" x14ac:dyDescent="0.4">
      <c r="A26" s="77"/>
      <c r="B26" s="31" t="s">
        <v>45</v>
      </c>
      <c r="C26" s="34">
        <v>106.62</v>
      </c>
      <c r="D26" s="34">
        <v>309.613</v>
      </c>
      <c r="E26" s="21">
        <f t="shared" si="0"/>
        <v>0.34436538517439513</v>
      </c>
      <c r="F26" s="21">
        <f t="shared" si="101"/>
        <v>0.52269793949574206</v>
      </c>
      <c r="G26" s="55">
        <v>0.66</v>
      </c>
      <c r="H26" s="23" t="s">
        <v>200</v>
      </c>
      <c r="I26" s="23" t="s">
        <v>181</v>
      </c>
      <c r="J26" s="56">
        <f>'Efficiency Assumptions'!G55</f>
        <v>2.0849702508308821</v>
      </c>
      <c r="K26" s="84"/>
      <c r="L26" s="58">
        <f t="shared" si="100"/>
        <v>0.80187408070987909</v>
      </c>
      <c r="M26" s="47">
        <f t="shared" si="76"/>
        <v>2043</v>
      </c>
      <c r="N26" s="21">
        <f t="shared" si="77"/>
        <v>0.8126349836312583</v>
      </c>
      <c r="O26" s="18">
        <f>LAT_FEC!B206*D$5/SUM(D$5:D$8)</f>
        <v>344.75392309108588</v>
      </c>
      <c r="P26" s="18">
        <f t="shared" si="1"/>
        <v>196.30805483423845</v>
      </c>
      <c r="Q26" s="18">
        <f t="shared" si="2"/>
        <v>287.20484064648429</v>
      </c>
      <c r="R26" s="21">
        <f t="shared" si="3"/>
        <v>0.68351234746725875</v>
      </c>
      <c r="S26" s="21">
        <f t="shared" si="78"/>
        <v>0.63777414702085344</v>
      </c>
      <c r="T26" s="18">
        <f>LAT_FEC!B206*D$6/SUM(D$5:D$8)</f>
        <v>15002.515242074209</v>
      </c>
      <c r="U26" s="18">
        <f t="shared" si="4"/>
        <v>3855.0428532156452</v>
      </c>
      <c r="V26" s="18">
        <f t="shared" si="5"/>
        <v>9327.6181323397468</v>
      </c>
      <c r="W26" s="21">
        <f t="shared" si="6"/>
        <v>0.41329338299665613</v>
      </c>
      <c r="X26" s="21">
        <f t="shared" si="79"/>
        <v>0</v>
      </c>
      <c r="Y26" s="18">
        <f>LAT_FEC!$B206*$D$7/SUM($D$5:$D$8)</f>
        <v>11.755182097509268</v>
      </c>
      <c r="Z26" s="18">
        <f t="shared" si="7"/>
        <v>0</v>
      </c>
      <c r="AA26" s="18">
        <f t="shared" si="8"/>
        <v>11.755182097509268</v>
      </c>
      <c r="AB26" s="21">
        <f t="shared" si="9"/>
        <v>0</v>
      </c>
      <c r="AC26" s="21">
        <f t="shared" si="80"/>
        <v>0</v>
      </c>
      <c r="AD26" s="18">
        <f>LAT_FEC!$B206*$D$8/SUM($D$5:$D$8)</f>
        <v>12.51305139601039</v>
      </c>
      <c r="AE26" s="18">
        <f t="shared" si="10"/>
        <v>0</v>
      </c>
      <c r="AF26" s="18">
        <f t="shared" si="11"/>
        <v>12.51305139601039</v>
      </c>
      <c r="AG26" s="21">
        <f t="shared" si="12"/>
        <v>0</v>
      </c>
      <c r="AH26" s="21">
        <f t="shared" si="13"/>
        <v>0.42030424043777254</v>
      </c>
      <c r="AI26" s="18">
        <f t="shared" si="14"/>
        <v>5732.4461921790644</v>
      </c>
      <c r="AJ26" s="21">
        <f t="shared" si="15"/>
        <v>0.37292601536910858</v>
      </c>
      <c r="AL26" s="21">
        <f t="shared" si="81"/>
        <v>0.6455686567580643</v>
      </c>
      <c r="AM26" s="18">
        <f>LAT_FEC!B153*$D$9/SUM($D$9:$D$13)</f>
        <v>8642.2228457432066</v>
      </c>
      <c r="AN26" s="18">
        <f t="shared" si="16"/>
        <v>2400.75673749321</v>
      </c>
      <c r="AO26" s="18">
        <f t="shared" si="17"/>
        <v>5686.600021032742</v>
      </c>
      <c r="AP26" s="21">
        <f t="shared" si="18"/>
        <v>0.42217787933275625</v>
      </c>
      <c r="AQ26" s="21">
        <f t="shared" si="82"/>
        <v>1</v>
      </c>
      <c r="AR26" s="18">
        <f>LAT_FEC!$B153*$D$10/SUM($D$9:$D$13)</f>
        <v>9.776089490180853</v>
      </c>
      <c r="AS26" s="18">
        <f t="shared" si="19"/>
        <v>9.776089490180853</v>
      </c>
      <c r="AT26" s="18">
        <f t="shared" si="20"/>
        <v>9.776089490180853</v>
      </c>
      <c r="AU26" s="21">
        <f t="shared" si="21"/>
        <v>1</v>
      </c>
      <c r="AV26" s="18">
        <f t="shared" si="83"/>
        <v>0.75998827450099871</v>
      </c>
      <c r="AW26" s="18">
        <f>LAT_FEC!$B153*$D$11/SUM($D$9:$D$13)</f>
        <v>2186.4717014915459</v>
      </c>
      <c r="AX26" s="18">
        <f t="shared" si="22"/>
        <v>1115.0541087824852</v>
      </c>
      <c r="AY26" s="18">
        <f t="shared" si="23"/>
        <v>1995.416575063153</v>
      </c>
      <c r="AZ26" s="21">
        <f t="shared" si="24"/>
        <v>0.55880768092106015</v>
      </c>
      <c r="BA26" s="18">
        <f t="shared" si="84"/>
        <v>0.83171737414337388</v>
      </c>
      <c r="BB26" s="18">
        <f>LAT_FEC!$B153*$D$12/SUM($D$9:$D$13)</f>
        <v>737.54566657296641</v>
      </c>
      <c r="BC26" s="18">
        <f t="shared" si="25"/>
        <v>613.42954511289201</v>
      </c>
      <c r="BD26" s="18">
        <f t="shared" si="26"/>
        <v>737.54566657296641</v>
      </c>
      <c r="BE26" s="21">
        <f t="shared" si="27"/>
        <v>0.83171737414337388</v>
      </c>
      <c r="BF26" s="18">
        <f t="shared" si="85"/>
        <v>1</v>
      </c>
      <c r="BG26" s="18">
        <f>LAT_FEC!$B153*$D$13/SUM($D$9:$D$13)</f>
        <v>1700.786001462712</v>
      </c>
      <c r="BH26" s="18">
        <f t="shared" si="28"/>
        <v>1700.786001462712</v>
      </c>
      <c r="BI26" s="18">
        <f t="shared" si="29"/>
        <v>1700.786001462712</v>
      </c>
      <c r="BJ26" s="21">
        <f t="shared" si="30"/>
        <v>1</v>
      </c>
      <c r="BK26" s="21">
        <f t="shared" si="31"/>
        <v>0.57647885440356061</v>
      </c>
      <c r="BL26" s="18">
        <f t="shared" si="32"/>
        <v>3146.6779511388577</v>
      </c>
      <c r="BM26" s="21">
        <f t="shared" si="33"/>
        <v>0.23700570957590938</v>
      </c>
      <c r="BO26" s="21">
        <f t="shared" si="86"/>
        <v>0.8424188863599279</v>
      </c>
      <c r="BP26" s="18">
        <f>LAT_FEC!$B100*$D$14/SUM($D$14:D$26)</f>
        <v>22.397670092184295</v>
      </c>
      <c r="BQ26" s="18">
        <f t="shared" si="34"/>
        <v>17.511834640864301</v>
      </c>
      <c r="BR26" s="18">
        <f t="shared" si="35"/>
        <v>22.425425342478441</v>
      </c>
      <c r="BS26" s="21">
        <f t="shared" si="36"/>
        <v>0.78089197299162161</v>
      </c>
      <c r="BT26" s="21">
        <f t="shared" si="87"/>
        <v>0.69274648184289433</v>
      </c>
      <c r="BU26" s="18">
        <f>LAT_FEC!$B100*$D$15/SUM($D$14:D$26)</f>
        <v>314.95333640798657</v>
      </c>
      <c r="BV26" s="18">
        <f t="shared" si="37"/>
        <v>157.99949443039057</v>
      </c>
      <c r="BW26" s="18">
        <f t="shared" si="38"/>
        <v>279.6655617004086</v>
      </c>
      <c r="BX26" s="21">
        <f t="shared" si="39"/>
        <v>0.56495870807163362</v>
      </c>
      <c r="BY26" s="21">
        <f t="shared" si="88"/>
        <v>0.88653440542608153</v>
      </c>
      <c r="BZ26" s="18">
        <f>LAT_FEC!$B100*$D$16/SUM($D$14:$D$26)</f>
        <v>29.087848853762274</v>
      </c>
      <c r="CA26" s="18">
        <f t="shared" si="40"/>
        <v>20.596824854332972</v>
      </c>
      <c r="CB26" s="18">
        <f t="shared" si="41"/>
        <v>24.872854922125377</v>
      </c>
      <c r="CC26" s="21">
        <f t="shared" si="42"/>
        <v>0.82808446874392738</v>
      </c>
      <c r="CD26" s="21">
        <f t="shared" si="89"/>
        <v>0.38953317025785034</v>
      </c>
      <c r="CE26" s="18">
        <f>LAT_FEC!$B100*$D$17/SUM($D$14:$D$26)</f>
        <v>2305.1094318597061</v>
      </c>
      <c r="CF26" s="18">
        <f t="shared" si="43"/>
        <v>637.4913207625558</v>
      </c>
      <c r="CG26" s="18">
        <f t="shared" si="44"/>
        <v>2168.5837730300104</v>
      </c>
      <c r="CH26" s="21">
        <f t="shared" si="45"/>
        <v>0.29396665634541469</v>
      </c>
      <c r="CI26" s="21">
        <f t="shared" si="90"/>
        <v>0.81693634791353631</v>
      </c>
      <c r="CJ26" s="18">
        <f>LAT_FEC!$B100*$D$18/SUM($D$14:$D$26)</f>
        <v>127.07897924643571</v>
      </c>
      <c r="CK26" s="18">
        <f t="shared" si="46"/>
        <v>75.952323479502937</v>
      </c>
      <c r="CL26" s="18">
        <f t="shared" si="47"/>
        <v>107.47626527078738</v>
      </c>
      <c r="CM26" s="21">
        <f t="shared" si="48"/>
        <v>0.70668927030670814</v>
      </c>
      <c r="CN26" s="21">
        <f t="shared" si="91"/>
        <v>0.87495266136879668</v>
      </c>
      <c r="CO26" s="18">
        <f>LAT_FEC!$B100*$D$19/SUM($D$16:Y$28)</f>
        <v>6.4703767347953285</v>
      </c>
      <c r="CP26" s="18">
        <f t="shared" si="49"/>
        <v>4.1962535294123935</v>
      </c>
      <c r="CQ26" s="18">
        <f t="shared" si="50"/>
        <v>5.3048008399446296</v>
      </c>
      <c r="CR26" s="21">
        <f t="shared" si="51"/>
        <v>0.7910294195806592</v>
      </c>
      <c r="CS26" s="18">
        <f t="shared" si="92"/>
        <v>0.78720847085498236</v>
      </c>
      <c r="CT26" s="18">
        <f>LAT_FEC!$B100*$D$20/SUM($D$14:$D$26)</f>
        <v>211.19864481074038</v>
      </c>
      <c r="CU26" s="18">
        <f t="shared" si="52"/>
        <v>67.794326733050141</v>
      </c>
      <c r="CV26" s="18">
        <f t="shared" si="53"/>
        <v>119.17448123598692</v>
      </c>
      <c r="CW26" s="21">
        <f t="shared" si="54"/>
        <v>0.56886613669251196</v>
      </c>
      <c r="CX26" s="21">
        <f t="shared" si="93"/>
        <v>0.78782915567461265</v>
      </c>
      <c r="CY26" s="18">
        <f>LAT_FEC!$B100*$D$21/SUM($D$14:$D$26)</f>
        <v>1105.1820551976427</v>
      </c>
      <c r="CZ26" s="18">
        <f t="shared" si="55"/>
        <v>523.10321117186345</v>
      </c>
      <c r="DA26" s="18">
        <f t="shared" si="56"/>
        <v>875.29647916731506</v>
      </c>
      <c r="DB26" s="21">
        <f t="shared" si="57"/>
        <v>0.59762974446041495</v>
      </c>
      <c r="DC26" s="21">
        <f t="shared" si="94"/>
        <v>0.87172297287098854</v>
      </c>
      <c r="DD26" s="18">
        <f>LAT_FEC!$B100*$D$22/SUM($D$14:$D$26)</f>
        <v>81.38614377113916</v>
      </c>
      <c r="DE26" s="18">
        <f t="shared" si="58"/>
        <v>45.679170401135131</v>
      </c>
      <c r="DF26" s="18">
        <f t="shared" si="59"/>
        <v>62.483787128966696</v>
      </c>
      <c r="DG26" s="21">
        <f t="shared" si="60"/>
        <v>0.73105636677964492</v>
      </c>
      <c r="DH26" s="21">
        <f t="shared" si="95"/>
        <v>0.49788662868165001</v>
      </c>
      <c r="DI26" s="18">
        <f>LAT_FEC!$B100*$D$23/SUM($D$14:$D$26)</f>
        <v>8806.8830167899068</v>
      </c>
      <c r="DJ26" s="18">
        <f t="shared" si="61"/>
        <v>2059.1593575665916</v>
      </c>
      <c r="DK26" s="18">
        <f t="shared" si="62"/>
        <v>7250.7601535511494</v>
      </c>
      <c r="DL26" s="21">
        <f t="shared" si="63"/>
        <v>0.28399220412194892</v>
      </c>
      <c r="DM26" s="21">
        <f t="shared" si="96"/>
        <v>0.57381244850355295</v>
      </c>
      <c r="DN26" s="18">
        <f>LAT_FEC!$B100*$D$24/SUM($D$14:$D$26)</f>
        <v>475.3111233445826</v>
      </c>
      <c r="DO26" s="18">
        <f t="shared" si="64"/>
        <v>125.42301651722899</v>
      </c>
      <c r="DP26" s="18">
        <f t="shared" si="65"/>
        <v>386.60638171389411</v>
      </c>
      <c r="DQ26" s="21">
        <f t="shared" si="66"/>
        <v>0.32442045048818563</v>
      </c>
      <c r="DR26" s="21">
        <f t="shared" si="97"/>
        <v>0.84767882733145128</v>
      </c>
      <c r="DS26" s="18">
        <f>LAT_FEC!$B100*$D$25/SUM($D$14:$D$26)</f>
        <v>87.463431205726508</v>
      </c>
      <c r="DT26" s="18">
        <f t="shared" si="67"/>
        <v>42.897432787083368</v>
      </c>
      <c r="DU26" s="18">
        <f t="shared" si="68"/>
        <v>62.168255225721012</v>
      </c>
      <c r="DV26" s="21">
        <f t="shared" si="69"/>
        <v>0.69002150102702764</v>
      </c>
      <c r="DW26" s="21">
        <f t="shared" si="98"/>
        <v>0.74439998472017088</v>
      </c>
      <c r="DX26" s="18">
        <f>LAT_FEC!$B100*$D$26/SUM($D$14:$D$26)</f>
        <v>409.84691668152811</v>
      </c>
      <c r="DY26" s="18">
        <f t="shared" si="70"/>
        <v>201.00031143715944</v>
      </c>
      <c r="DZ26" s="18">
        <f t="shared" si="71"/>
        <v>344.89710374151559</v>
      </c>
      <c r="EA26" s="21">
        <f t="shared" si="72"/>
        <v>0.58278341353599727</v>
      </c>
      <c r="EB26" s="21">
        <f t="shared" si="73"/>
        <v>0.33978664456002172</v>
      </c>
      <c r="EC26" s="18">
        <f t="shared" si="74"/>
        <v>2272.6536521258331</v>
      </c>
      <c r="ED26" s="21">
        <f t="shared" si="75"/>
        <v>0.16253709626672622</v>
      </c>
    </row>
    <row r="27" spans="1:134" x14ac:dyDescent="0.35">
      <c r="E27" s="7"/>
      <c r="F27" s="7"/>
      <c r="M27" s="47">
        <f t="shared" si="76"/>
        <v>2044</v>
      </c>
      <c r="N27" s="21">
        <f t="shared" si="77"/>
        <v>0.83163034634960342</v>
      </c>
      <c r="O27" s="18">
        <f>LAT_FEC!B207*D$5/SUM(D$5:D$8)</f>
        <v>347.35063307146629</v>
      </c>
      <c r="P27" s="18">
        <f t="shared" si="1"/>
        <v>202.40992849543926</v>
      </c>
      <c r="Q27" s="18">
        <f t="shared" si="2"/>
        <v>284.70668470466603</v>
      </c>
      <c r="R27" s="21">
        <f t="shared" si="3"/>
        <v>0.71094196016298172</v>
      </c>
      <c r="S27" s="21">
        <f t="shared" si="78"/>
        <v>0.6730461477336509</v>
      </c>
      <c r="T27" s="18">
        <f>LAT_FEC!B207*D$6/SUM(D$5:D$8)</f>
        <v>15115.515206543389</v>
      </c>
      <c r="U27" s="18">
        <f t="shared" si="4"/>
        <v>4098.8877037765706</v>
      </c>
      <c r="V27" s="18">
        <f t="shared" si="5"/>
        <v>9075.7730636350134</v>
      </c>
      <c r="W27" s="21">
        <f t="shared" si="6"/>
        <v>0.45162959397917019</v>
      </c>
      <c r="X27" s="21">
        <f t="shared" si="79"/>
        <v>0</v>
      </c>
      <c r="Y27" s="18">
        <f>LAT_FEC!$B207*$D$7/SUM($D$5:$D$8)</f>
        <v>11.843722928024274</v>
      </c>
      <c r="Z27" s="18">
        <f t="shared" si="7"/>
        <v>0</v>
      </c>
      <c r="AA27" s="18">
        <f t="shared" si="8"/>
        <v>11.843722928024274</v>
      </c>
      <c r="AB27" s="21">
        <f t="shared" si="9"/>
        <v>0</v>
      </c>
      <c r="AC27" s="21">
        <f t="shared" si="80"/>
        <v>0</v>
      </c>
      <c r="AD27" s="18">
        <f>LAT_FEC!$B207*$D$8/SUM($D$5:$D$8)</f>
        <v>12.607300549591301</v>
      </c>
      <c r="AE27" s="18">
        <f t="shared" si="10"/>
        <v>0</v>
      </c>
      <c r="AF27" s="18">
        <f t="shared" si="11"/>
        <v>12.607300549591301</v>
      </c>
      <c r="AG27" s="21">
        <f t="shared" si="12"/>
        <v>0</v>
      </c>
      <c r="AH27" s="21">
        <f t="shared" si="13"/>
        <v>0.45831959093280639</v>
      </c>
      <c r="AI27" s="18">
        <f t="shared" si="14"/>
        <v>6102.3860912751752</v>
      </c>
      <c r="AJ27" s="21">
        <f t="shared" si="15"/>
        <v>0.39402474587561742</v>
      </c>
      <c r="AL27" s="21">
        <f t="shared" si="81"/>
        <v>0.67533954992048595</v>
      </c>
      <c r="AM27" s="18">
        <f>LAT_FEC!B154*$D$9/SUM($D$9:$D$13)</f>
        <v>8501.4787960874128</v>
      </c>
      <c r="AN27" s="18">
        <f t="shared" si="16"/>
        <v>2470.5686092591618</v>
      </c>
      <c r="AO27" s="18">
        <f t="shared" si="17"/>
        <v>5431.3962547591054</v>
      </c>
      <c r="AP27" s="21">
        <f t="shared" si="18"/>
        <v>0.45486804743704656</v>
      </c>
      <c r="AQ27" s="21">
        <f t="shared" si="82"/>
        <v>1</v>
      </c>
      <c r="AR27" s="18">
        <f>LAT_FEC!$B154*$D$10/SUM($D$9:$D$13)</f>
        <v>9.6168797070955652</v>
      </c>
      <c r="AS27" s="18">
        <f t="shared" si="19"/>
        <v>9.6168797070955652</v>
      </c>
      <c r="AT27" s="18">
        <f t="shared" si="20"/>
        <v>9.6168797070955652</v>
      </c>
      <c r="AU27" s="21">
        <f t="shared" si="21"/>
        <v>1</v>
      </c>
      <c r="AV27" s="18">
        <f t="shared" si="83"/>
        <v>0.76488145079849146</v>
      </c>
      <c r="AW27" s="18">
        <f>LAT_FEC!$B154*$D$11/SUM($D$9:$D$13)</f>
        <v>2150.8636308344362</v>
      </c>
      <c r="AX27" s="18">
        <f t="shared" si="22"/>
        <v>1103.9570943584067</v>
      </c>
      <c r="AY27" s="18">
        <f t="shared" si="23"/>
        <v>1952.3264401416493</v>
      </c>
      <c r="AZ27" s="21">
        <f t="shared" si="24"/>
        <v>0.56545722665022669</v>
      </c>
      <c r="BA27" s="18">
        <f t="shared" si="84"/>
        <v>0.86830627036529329</v>
      </c>
      <c r="BB27" s="18">
        <f>LAT_FEC!$B154*$D$12/SUM($D$9:$D$13)</f>
        <v>725.5342702259386</v>
      </c>
      <c r="BC27" s="18">
        <f t="shared" si="25"/>
        <v>629.9859562020896</v>
      </c>
      <c r="BD27" s="18">
        <f t="shared" si="26"/>
        <v>725.5342702259386</v>
      </c>
      <c r="BE27" s="21">
        <f t="shared" si="27"/>
        <v>0.86830627036529329</v>
      </c>
      <c r="BF27" s="18">
        <f t="shared" si="85"/>
        <v>1</v>
      </c>
      <c r="BG27" s="18">
        <f>LAT_FEC!$B154*$D$13/SUM($D$9:$D$13)</f>
        <v>1673.0876287504589</v>
      </c>
      <c r="BH27" s="18">
        <f t="shared" si="28"/>
        <v>1673.0876287504589</v>
      </c>
      <c r="BI27" s="18">
        <f t="shared" si="29"/>
        <v>1673.0876287504589</v>
      </c>
      <c r="BJ27" s="21">
        <f t="shared" si="30"/>
        <v>1</v>
      </c>
      <c r="BK27" s="21">
        <f t="shared" si="31"/>
        <v>0.6012295068928879</v>
      </c>
      <c r="BL27" s="18">
        <f t="shared" si="32"/>
        <v>3268.6197320210922</v>
      </c>
      <c r="BM27" s="21">
        <f t="shared" si="33"/>
        <v>0.25026602419640148</v>
      </c>
      <c r="BO27" s="21">
        <f t="shared" si="86"/>
        <v>0.84226836987461817</v>
      </c>
      <c r="BP27" s="18">
        <f>LAT_FEC!$B101*$D$14/SUM($D$14:D$26)</f>
        <v>22.668728741227284</v>
      </c>
      <c r="BQ27" s="18">
        <f t="shared" si="34"/>
        <v>17.720597726434292</v>
      </c>
      <c r="BR27" s="18">
        <f t="shared" si="35"/>
        <v>22.698403256403381</v>
      </c>
      <c r="BS27" s="21">
        <f t="shared" si="36"/>
        <v>0.78069798682579949</v>
      </c>
      <c r="BT27" s="21">
        <f t="shared" si="87"/>
        <v>0.70459269788148204</v>
      </c>
      <c r="BU27" s="18">
        <f>LAT_FEC!$B101*$D$15/SUM($D$14:D$26)</f>
        <v>318.76493044999899</v>
      </c>
      <c r="BV27" s="18">
        <f t="shared" si="37"/>
        <v>162.64616540870574</v>
      </c>
      <c r="BW27" s="18">
        <f t="shared" si="38"/>
        <v>281.03701969462088</v>
      </c>
      <c r="BX27" s="21">
        <f t="shared" si="39"/>
        <v>0.57873573234387254</v>
      </c>
      <c r="BY27" s="21">
        <f t="shared" si="88"/>
        <v>0.90297280518245604</v>
      </c>
      <c r="BZ27" s="18">
        <f>LAT_FEC!$B101*$D$16/SUM($D$14:$D$26)</f>
        <v>29.439872657194343</v>
      </c>
      <c r="CA27" s="18">
        <f t="shared" si="40"/>
        <v>21.232624257525597</v>
      </c>
      <c r="CB27" s="18">
        <f t="shared" si="41"/>
        <v>24.93341351645665</v>
      </c>
      <c r="CC27" s="21">
        <f t="shared" si="42"/>
        <v>0.85157310063106906</v>
      </c>
      <c r="CD27" s="21">
        <f t="shared" si="89"/>
        <v>0.39836297962642442</v>
      </c>
      <c r="CE27" s="18">
        <f>LAT_FEC!$B101*$D$17/SUM($D$14:$D$26)</f>
        <v>2333.0060767305567</v>
      </c>
      <c r="CF27" s="18">
        <f t="shared" si="43"/>
        <v>659.8316224336412</v>
      </c>
      <c r="CG27" s="18">
        <f t="shared" si="44"/>
        <v>2187.0397211065556</v>
      </c>
      <c r="CH27" s="21">
        <f t="shared" si="45"/>
        <v>0.30170079494477242</v>
      </c>
      <c r="CI27" s="21">
        <f t="shared" si="90"/>
        <v>0.83088201745324675</v>
      </c>
      <c r="CJ27" s="18">
        <f>LAT_FEC!$B101*$D$18/SUM($D$14:$D$26)</f>
        <v>128.61690065944558</v>
      </c>
      <c r="CK27" s="18">
        <f t="shared" si="46"/>
        <v>78.183755299458724</v>
      </c>
      <c r="CL27" s="18">
        <f t="shared" si="47"/>
        <v>107.65866655244638</v>
      </c>
      <c r="CM27" s="21">
        <f t="shared" si="48"/>
        <v>0.7262188712078389</v>
      </c>
      <c r="CN27" s="21">
        <f t="shared" si="91"/>
        <v>0.89109850378496014</v>
      </c>
      <c r="CO27" s="18">
        <f>LAT_FEC!$B101*$D$19/SUM($D$16:Y$28)</f>
        <v>6.5486818249816876</v>
      </c>
      <c r="CP27" s="18">
        <f t="shared" si="49"/>
        <v>4.3254092011376795</v>
      </c>
      <c r="CQ27" s="18">
        <f t="shared" si="50"/>
        <v>5.3025068053337732</v>
      </c>
      <c r="CR27" s="21">
        <f t="shared" si="51"/>
        <v>0.81572911830811146</v>
      </c>
      <c r="CS27" s="18">
        <f t="shared" si="92"/>
        <v>0.82060007104114929</v>
      </c>
      <c r="CT27" s="18">
        <f>LAT_FEC!$B101*$D$20/SUM($D$14:$D$26)</f>
        <v>213.75459009908917</v>
      </c>
      <c r="CU27" s="18">
        <f t="shared" si="52"/>
        <v>71.525263405842736</v>
      </c>
      <c r="CV27" s="18">
        <f t="shared" si="53"/>
        <v>115.3669910096788</v>
      </c>
      <c r="CW27" s="21">
        <f t="shared" si="54"/>
        <v>0.61998031481849147</v>
      </c>
      <c r="CX27" s="21">
        <f t="shared" si="93"/>
        <v>0.80083916489205587</v>
      </c>
      <c r="CY27" s="18">
        <f>LAT_FEC!$B101*$D$21/SUM($D$14:$D$26)</f>
        <v>1118.5570693663244</v>
      </c>
      <c r="CZ27" s="18">
        <f t="shared" si="55"/>
        <v>538.17678928983889</v>
      </c>
      <c r="DA27" s="18">
        <f t="shared" si="56"/>
        <v>872.77499417759429</v>
      </c>
      <c r="DB27" s="21">
        <f t="shared" si="57"/>
        <v>0.61662718670916616</v>
      </c>
      <c r="DC27" s="21">
        <f t="shared" si="94"/>
        <v>0.88527790835953046</v>
      </c>
      <c r="DD27" s="18">
        <f>LAT_FEC!$B101*$D$22/SUM($D$14:$D$26)</f>
        <v>82.371086316083662</v>
      </c>
      <c r="DE27" s="18">
        <f t="shared" si="58"/>
        <v>46.950872323015957</v>
      </c>
      <c r="DF27" s="18">
        <f t="shared" si="59"/>
        <v>62.161638982781994</v>
      </c>
      <c r="DG27" s="21">
        <f t="shared" si="60"/>
        <v>0.75530299862300554</v>
      </c>
      <c r="DH27" s="21">
        <f t="shared" si="95"/>
        <v>0.5120252026211275</v>
      </c>
      <c r="DI27" s="18">
        <f>LAT_FEC!$B101*$D$23/SUM($D$14:$D$26)</f>
        <v>8913.4647193949349</v>
      </c>
      <c r="DJ27" s="18">
        <f t="shared" si="61"/>
        <v>2143.2614631273309</v>
      </c>
      <c r="DK27" s="18">
        <f t="shared" si="62"/>
        <v>7249.736558716455</v>
      </c>
      <c r="DL27" s="21">
        <f t="shared" si="63"/>
        <v>0.295633013112795</v>
      </c>
      <c r="DM27" s="21">
        <f t="shared" si="96"/>
        <v>0.58649417859397246</v>
      </c>
      <c r="DN27" s="18">
        <f>LAT_FEC!$B101*$D$24/SUM($D$14:$D$26)</f>
        <v>481.06338196963691</v>
      </c>
      <c r="DO27" s="18">
        <f t="shared" si="64"/>
        <v>129.74639622526547</v>
      </c>
      <c r="DP27" s="18">
        <f t="shared" si="65"/>
        <v>386.22474157492803</v>
      </c>
      <c r="DQ27" s="21">
        <f t="shared" si="66"/>
        <v>0.33593496806080336</v>
      </c>
      <c r="DR27" s="21">
        <f t="shared" si="97"/>
        <v>0.86646156777854189</v>
      </c>
      <c r="DS27" s="18">
        <f>LAT_FEC!$B101*$D$25/SUM($D$14:$D$26)</f>
        <v>88.52192163824526</v>
      </c>
      <c r="DT27" s="18">
        <f t="shared" si="67"/>
        <v>44.37859954281312</v>
      </c>
      <c r="DU27" s="18">
        <f t="shared" si="68"/>
        <v>61.477593968858649</v>
      </c>
      <c r="DV27" s="21">
        <f t="shared" si="69"/>
        <v>0.72186623902836877</v>
      </c>
      <c r="DW27" s="21">
        <f t="shared" si="98"/>
        <v>0.75689630585202505</v>
      </c>
      <c r="DX27" s="18">
        <f>LAT_FEC!$B101*$D$26/SUM($D$14:$D$26)</f>
        <v>414.80692149867627</v>
      </c>
      <c r="DY27" s="18">
        <f t="shared" si="70"/>
        <v>206.84788405117462</v>
      </c>
      <c r="DZ27" s="18">
        <f t="shared" si="71"/>
        <v>345.36585397641409</v>
      </c>
      <c r="EA27" s="21">
        <f t="shared" si="72"/>
        <v>0.59892395750652516</v>
      </c>
      <c r="EB27" s="21">
        <f t="shared" si="73"/>
        <v>0.35189434622699228</v>
      </c>
      <c r="EC27" s="18">
        <f t="shared" si="74"/>
        <v>2429.8067780078691</v>
      </c>
      <c r="ED27" s="21">
        <f t="shared" si="75"/>
        <v>0.17169856227274347</v>
      </c>
    </row>
    <row r="28" spans="1:134" ht="15.5" x14ac:dyDescent="0.35">
      <c r="A28" s="33" t="s">
        <v>210</v>
      </c>
      <c r="E28" s="7"/>
      <c r="F28" s="7"/>
      <c r="J28" s="7"/>
      <c r="M28" s="47">
        <f t="shared" si="76"/>
        <v>2045</v>
      </c>
      <c r="N28" s="21">
        <f t="shared" si="77"/>
        <v>0.84714340834169854</v>
      </c>
      <c r="O28" s="18">
        <f>LAT_FEC!B208*D$5/SUM(D$5:D$8)</f>
        <v>350.00542517623143</v>
      </c>
      <c r="P28" s="18">
        <f t="shared" si="1"/>
        <v>207.76151345277111</v>
      </c>
      <c r="Q28" s="18">
        <f t="shared" si="2"/>
        <v>283.04673832091112</v>
      </c>
      <c r="R28" s="21">
        <f t="shared" si="3"/>
        <v>0.73401839811069103</v>
      </c>
      <c r="S28" s="21">
        <f t="shared" si="78"/>
        <v>0.70185195374831588</v>
      </c>
      <c r="T28" s="18">
        <f>LAT_FEC!B208*D$6/SUM(D$5:D$8)</f>
        <v>15231.042707025972</v>
      </c>
      <c r="U28" s="18">
        <f t="shared" si="4"/>
        <v>4306.9851255238591</v>
      </c>
      <c r="V28" s="18">
        <f t="shared" si="5"/>
        <v>8880.0759570816699</v>
      </c>
      <c r="W28" s="21">
        <f t="shared" si="6"/>
        <v>0.48501669876924092</v>
      </c>
      <c r="X28" s="21">
        <f t="shared" si="79"/>
        <v>0</v>
      </c>
      <c r="Y28" s="18">
        <f>LAT_FEC!$B208*$D$7/SUM($D$5:$D$8)</f>
        <v>11.934244202859194</v>
      </c>
      <c r="Z28" s="18">
        <f t="shared" si="7"/>
        <v>0</v>
      </c>
      <c r="AA28" s="18">
        <f t="shared" si="8"/>
        <v>11.934244202859194</v>
      </c>
      <c r="AB28" s="21">
        <f t="shared" si="9"/>
        <v>0</v>
      </c>
      <c r="AC28" s="21">
        <f t="shared" si="80"/>
        <v>0</v>
      </c>
      <c r="AD28" s="18">
        <f>LAT_FEC!$B208*$D$8/SUM($D$5:$D$8)</f>
        <v>12.70365782887851</v>
      </c>
      <c r="AE28" s="18">
        <f t="shared" si="10"/>
        <v>0</v>
      </c>
      <c r="AF28" s="18">
        <f t="shared" si="11"/>
        <v>12.70365782887851</v>
      </c>
      <c r="AG28" s="21">
        <f t="shared" si="12"/>
        <v>0</v>
      </c>
      <c r="AH28" s="21">
        <f t="shared" si="13"/>
        <v>0.49138705684575334</v>
      </c>
      <c r="AI28" s="18">
        <f t="shared" si="14"/>
        <v>6417.9254367996236</v>
      </c>
      <c r="AJ28" s="21">
        <f t="shared" si="15"/>
        <v>0.41125557842960087</v>
      </c>
      <c r="AL28" s="21">
        <f t="shared" si="81"/>
        <v>0.69965273193425492</v>
      </c>
      <c r="AM28" s="18">
        <f>LAT_FEC!B155*$D$9/SUM($D$9:$D$13)</f>
        <v>8363.9474342513913</v>
      </c>
      <c r="AN28" s="18">
        <f t="shared" si="16"/>
        <v>2518.1064645772794</v>
      </c>
      <c r="AO28" s="18">
        <f t="shared" si="17"/>
        <v>5212.8922354011411</v>
      </c>
      <c r="AP28" s="21">
        <f t="shared" si="18"/>
        <v>0.48305361992266599</v>
      </c>
      <c r="AQ28" s="21">
        <f t="shared" si="82"/>
        <v>1</v>
      </c>
      <c r="AR28" s="18">
        <f>LAT_FEC!$B155*$D$10/SUM($D$9:$D$13)</f>
        <v>9.4613041190768339</v>
      </c>
      <c r="AS28" s="18">
        <f t="shared" si="19"/>
        <v>9.4613041190768339</v>
      </c>
      <c r="AT28" s="18">
        <f t="shared" si="20"/>
        <v>9.4613041190768339</v>
      </c>
      <c r="AU28" s="21">
        <f t="shared" si="21"/>
        <v>1</v>
      </c>
      <c r="AV28" s="18">
        <f t="shared" si="83"/>
        <v>0.76887759177072701</v>
      </c>
      <c r="AW28" s="18">
        <f>LAT_FEC!$B155*$D$11/SUM($D$9:$D$13)</f>
        <v>2116.0683662260753</v>
      </c>
      <c r="AX28" s="18">
        <f t="shared" si="22"/>
        <v>1091.7723430702076</v>
      </c>
      <c r="AY28" s="18">
        <f t="shared" si="23"/>
        <v>1912.2314638366836</v>
      </c>
      <c r="AZ28" s="21">
        <f t="shared" si="24"/>
        <v>0.57094152236135975</v>
      </c>
      <c r="BA28" s="18">
        <f t="shared" si="84"/>
        <v>0.89818755369371295</v>
      </c>
      <c r="BB28" s="18">
        <f>LAT_FEC!$B155*$D$12/SUM($D$9:$D$13)</f>
        <v>713.79705148597054</v>
      </c>
      <c r="BC28" s="18">
        <f t="shared" si="25"/>
        <v>641.1236275079691</v>
      </c>
      <c r="BD28" s="18">
        <f t="shared" si="26"/>
        <v>713.79705148597054</v>
      </c>
      <c r="BE28" s="21">
        <f t="shared" si="27"/>
        <v>0.89818755369371284</v>
      </c>
      <c r="BF28" s="18">
        <f t="shared" si="85"/>
        <v>1</v>
      </c>
      <c r="BG28" s="18">
        <f>LAT_FEC!$B155*$D$13/SUM($D$9:$D$13)</f>
        <v>1646.0215117169196</v>
      </c>
      <c r="BH28" s="18">
        <f t="shared" si="28"/>
        <v>1646.0215117169196</v>
      </c>
      <c r="BI28" s="18">
        <f t="shared" si="29"/>
        <v>1646.0215117169196</v>
      </c>
      <c r="BJ28" s="21">
        <f t="shared" si="30"/>
        <v>1</v>
      </c>
      <c r="BK28" s="21">
        <f t="shared" si="31"/>
        <v>0.62210176864554878</v>
      </c>
      <c r="BL28" s="18">
        <f t="shared" si="32"/>
        <v>3354.8921012396404</v>
      </c>
      <c r="BM28" s="21">
        <f t="shared" si="33"/>
        <v>0.26109540849363916</v>
      </c>
      <c r="BO28" s="21">
        <f t="shared" si="86"/>
        <v>0.84214544663266355</v>
      </c>
      <c r="BP28" s="18">
        <f>LAT_FEC!$B102*$D$14/SUM($D$14:D$26)</f>
        <v>22.945593285401007</v>
      </c>
      <c r="BQ28" s="18">
        <f t="shared" si="34"/>
        <v>17.934410481659526</v>
      </c>
      <c r="BR28" s="18">
        <f t="shared" si="35"/>
        <v>22.976939122897392</v>
      </c>
      <c r="BS28" s="21">
        <f t="shared" si="36"/>
        <v>0.7805395830024725</v>
      </c>
      <c r="BT28" s="21">
        <f t="shared" si="87"/>
        <v>0.71426722142195032</v>
      </c>
      <c r="BU28" s="18">
        <f>LAT_FEC!$B102*$D$15/SUM($D$14:D$26)</f>
        <v>322.65816628933834</v>
      </c>
      <c r="BV28" s="18">
        <f t="shared" si="37"/>
        <v>166.89315958057122</v>
      </c>
      <c r="BW28" s="18">
        <f t="shared" si="38"/>
        <v>282.80535142115122</v>
      </c>
      <c r="BX28" s="21">
        <f t="shared" si="39"/>
        <v>0.59013437596530982</v>
      </c>
      <c r="BY28" s="21">
        <f t="shared" si="88"/>
        <v>0.91639765619755131</v>
      </c>
      <c r="BZ28" s="18">
        <f>LAT_FEC!$B102*$D$16/SUM($D$14:$D$26)</f>
        <v>29.799436575260145</v>
      </c>
      <c r="CA28" s="18">
        <f t="shared" si="40"/>
        <v>21.811478176116626</v>
      </c>
      <c r="CB28" s="18">
        <f t="shared" si="41"/>
        <v>25.039165511979292</v>
      </c>
      <c r="CC28" s="21">
        <f t="shared" si="42"/>
        <v>0.87109445263587282</v>
      </c>
      <c r="CD28" s="21">
        <f t="shared" si="89"/>
        <v>0.40557407541565005</v>
      </c>
      <c r="CE28" s="18">
        <f>LAT_FEC!$B102*$D$17/SUM($D$14:$D$26)</f>
        <v>2361.5002490929351</v>
      </c>
      <c r="CF28" s="18">
        <f t="shared" si="43"/>
        <v>679.9805112949781</v>
      </c>
      <c r="CG28" s="18">
        <f t="shared" si="44"/>
        <v>2207.3128045406802</v>
      </c>
      <c r="CH28" s="21">
        <f t="shared" si="45"/>
        <v>0.30805806494493437</v>
      </c>
      <c r="CI28" s="21">
        <f t="shared" si="90"/>
        <v>0.84227111485025841</v>
      </c>
      <c r="CJ28" s="18">
        <f>LAT_FEC!$B102*$D$18/SUM($D$14:$D$26)</f>
        <v>130.18776332142414</v>
      </c>
      <c r="CK28" s="18">
        <f t="shared" si="46"/>
        <v>80.223425014928878</v>
      </c>
      <c r="CL28" s="18">
        <f t="shared" si="47"/>
        <v>108.04912359536139</v>
      </c>
      <c r="CM28" s="21">
        <f t="shared" si="48"/>
        <v>0.74247177899713124</v>
      </c>
      <c r="CN28" s="21">
        <f t="shared" si="91"/>
        <v>0.90428443016238313</v>
      </c>
      <c r="CO28" s="18">
        <f>LAT_FEC!$B102*$D$19/SUM($D$16:Y$28)</f>
        <v>6.6286641578733789</v>
      </c>
      <c r="CP28" s="18">
        <f t="shared" si="49"/>
        <v>4.4430240524072575</v>
      </c>
      <c r="CQ28" s="18">
        <f t="shared" si="50"/>
        <v>5.3123023091243526</v>
      </c>
      <c r="CR28" s="21">
        <f t="shared" si="51"/>
        <v>0.83636506242801123</v>
      </c>
      <c r="CS28" s="18">
        <f t="shared" si="92"/>
        <v>0.84787019856564194</v>
      </c>
      <c r="CT28" s="18">
        <f>LAT_FEC!$B102*$D$20/SUM($D$14:$D$26)</f>
        <v>216.36528202753391</v>
      </c>
      <c r="CU28" s="18">
        <f t="shared" si="52"/>
        <v>74.804790684939803</v>
      </c>
      <c r="CV28" s="18">
        <f t="shared" si="53"/>
        <v>112.43631555867782</v>
      </c>
      <c r="CW28" s="21">
        <f t="shared" si="54"/>
        <v>0.6653080929702021</v>
      </c>
      <c r="CX28" s="21">
        <f t="shared" si="93"/>
        <v>0.81146413070610723</v>
      </c>
      <c r="CY28" s="18">
        <f>LAT_FEC!$B102*$D$21/SUM($D$14:$D$26)</f>
        <v>1132.2185674008028</v>
      </c>
      <c r="CZ28" s="18">
        <f t="shared" si="55"/>
        <v>551.97716610231669</v>
      </c>
      <c r="DA28" s="18">
        <f t="shared" si="56"/>
        <v>872.5936015784107</v>
      </c>
      <c r="DB28" s="21">
        <f t="shared" si="57"/>
        <v>0.63257072376402979</v>
      </c>
      <c r="DC28" s="21">
        <f t="shared" si="94"/>
        <v>0.89634790252866103</v>
      </c>
      <c r="DD28" s="18">
        <f>LAT_FEC!$B102*$D$22/SUM($D$14:$D$26)</f>
        <v>83.377125672164567</v>
      </c>
      <c r="DE28" s="18">
        <f t="shared" si="58"/>
        <v>48.118576513284999</v>
      </c>
      <c r="DF28" s="18">
        <f t="shared" si="59"/>
        <v>62.029445744045596</v>
      </c>
      <c r="DG28" s="21">
        <f t="shared" si="60"/>
        <v>0.77573765066092104</v>
      </c>
      <c r="DH28" s="21">
        <f t="shared" si="95"/>
        <v>0.52357184046401062</v>
      </c>
      <c r="DI28" s="18">
        <f>LAT_FEC!$B102*$D$23/SUM($D$14:$D$26)</f>
        <v>9022.3293308477878</v>
      </c>
      <c r="DJ28" s="18">
        <f t="shared" si="61"/>
        <v>2218.3610099688935</v>
      </c>
      <c r="DK28" s="18">
        <f t="shared" si="62"/>
        <v>7264.8969935944642</v>
      </c>
      <c r="DL28" s="21">
        <f t="shared" si="63"/>
        <v>0.30535340169652037</v>
      </c>
      <c r="DM28" s="21">
        <f t="shared" si="96"/>
        <v>0.59685104663470212</v>
      </c>
      <c r="DN28" s="18">
        <f>LAT_FEC!$B102*$D$24/SUM($D$14:$D$26)</f>
        <v>486.93885013056041</v>
      </c>
      <c r="DO28" s="18">
        <f t="shared" si="64"/>
        <v>133.65022175169688</v>
      </c>
      <c r="DP28" s="18">
        <f t="shared" si="65"/>
        <v>386.75872612350486</v>
      </c>
      <c r="DQ28" s="21">
        <f t="shared" si="66"/>
        <v>0.34556485148060484</v>
      </c>
      <c r="DR28" s="21">
        <f t="shared" si="97"/>
        <v>0.8818009862070062</v>
      </c>
      <c r="DS28" s="18">
        <f>LAT_FEC!$B102*$D$25/SUM($D$14:$D$26)</f>
        <v>89.603084228504741</v>
      </c>
      <c r="DT28" s="18">
        <f t="shared" si="67"/>
        <v>45.715870605420932</v>
      </c>
      <c r="DU28" s="18">
        <f t="shared" si="68"/>
        <v>61.035571152286614</v>
      </c>
      <c r="DV28" s="21">
        <f t="shared" si="69"/>
        <v>0.74900373245230534</v>
      </c>
      <c r="DW28" s="21">
        <f t="shared" si="98"/>
        <v>0.76710175479585396</v>
      </c>
      <c r="DX28" s="18">
        <f>LAT_FEC!$B102*$D$26/SUM($D$14:$D$26)</f>
        <v>419.87316630454262</v>
      </c>
      <c r="DY28" s="18">
        <f t="shared" si="70"/>
        <v>212.19727330286352</v>
      </c>
      <c r="DZ28" s="18">
        <f t="shared" si="71"/>
        <v>346.52105237070919</v>
      </c>
      <c r="EA28" s="21">
        <f t="shared" si="72"/>
        <v>0.61236473758556609</v>
      </c>
      <c r="EB28" s="21">
        <f t="shared" si="73"/>
        <v>0.3619829152429328</v>
      </c>
      <c r="EC28" s="18">
        <f t="shared" si="74"/>
        <v>2566.6578867108365</v>
      </c>
      <c r="ED28" s="21">
        <f t="shared" si="75"/>
        <v>0.17918051416790576</v>
      </c>
    </row>
    <row r="29" spans="1:134" ht="45" customHeight="1" x14ac:dyDescent="0.35">
      <c r="B29" s="22" t="s">
        <v>143</v>
      </c>
      <c r="C29" s="28" t="s">
        <v>144</v>
      </c>
      <c r="D29" s="28" t="s">
        <v>145</v>
      </c>
      <c r="E29" s="54" t="s">
        <v>146</v>
      </c>
      <c r="M29" s="47">
        <f t="shared" si="76"/>
        <v>2046</v>
      </c>
      <c r="N29" s="21">
        <f t="shared" si="77"/>
        <v>0.85953663711398076</v>
      </c>
      <c r="O29" s="18">
        <f>LAT_FEC!B209*D$5/SUM(D$5:D$8)</f>
        <v>352.72301159496692</v>
      </c>
      <c r="P29" s="18">
        <f t="shared" si="1"/>
        <v>212.43769230731101</v>
      </c>
      <c r="Q29" s="18">
        <f t="shared" si="2"/>
        <v>282.15613215373264</v>
      </c>
      <c r="R29" s="21">
        <f t="shared" si="3"/>
        <v>0.75290829472940335</v>
      </c>
      <c r="S29" s="21">
        <f t="shared" si="78"/>
        <v>0.72486462165950183</v>
      </c>
      <c r="T29" s="18">
        <f>LAT_FEC!B209*D$6/SUM(D$5:D$8)</f>
        <v>15349.302801945794</v>
      </c>
      <c r="U29" s="18">
        <f t="shared" si="4"/>
        <v>4482.7423723890288</v>
      </c>
      <c r="V29" s="18">
        <f t="shared" si="5"/>
        <v>8735.6241997349862</v>
      </c>
      <c r="W29" s="21">
        <f t="shared" si="6"/>
        <v>0.51315650374761113</v>
      </c>
      <c r="X29" s="21">
        <f t="shared" si="79"/>
        <v>0</v>
      </c>
      <c r="Y29" s="18">
        <f>LAT_FEC!$B209*$D$7/SUM($D$5:$D$8)</f>
        <v>12.026906595012781</v>
      </c>
      <c r="Z29" s="18">
        <f t="shared" si="7"/>
        <v>0</v>
      </c>
      <c r="AA29" s="18">
        <f t="shared" si="8"/>
        <v>12.026906595012781</v>
      </c>
      <c r="AB29" s="21">
        <f t="shared" si="9"/>
        <v>0</v>
      </c>
      <c r="AC29" s="21">
        <f t="shared" si="80"/>
        <v>0</v>
      </c>
      <c r="AD29" s="18">
        <f>LAT_FEC!$B209*$D$8/SUM($D$5:$D$8)</f>
        <v>12.802294265632714</v>
      </c>
      <c r="AE29" s="18">
        <f t="shared" si="10"/>
        <v>0</v>
      </c>
      <c r="AF29" s="18">
        <f t="shared" si="11"/>
        <v>12.802294265632714</v>
      </c>
      <c r="AG29" s="21">
        <f t="shared" si="12"/>
        <v>0</v>
      </c>
      <c r="AH29" s="21">
        <f t="shared" si="13"/>
        <v>0.51922844259634771</v>
      </c>
      <c r="AI29" s="18">
        <f t="shared" si="14"/>
        <v>6684.2454816520421</v>
      </c>
      <c r="AJ29" s="21">
        <f t="shared" si="15"/>
        <v>0.42502111677961935</v>
      </c>
      <c r="AL29" s="21">
        <f t="shared" si="81"/>
        <v>0.71907628784038846</v>
      </c>
      <c r="AM29" s="18">
        <f>LAT_FEC!B156*$D$9/SUM($D$9:$D$13)</f>
        <v>8229.6326514569446</v>
      </c>
      <c r="AN29" s="18">
        <f t="shared" si="16"/>
        <v>2546.4530696530164</v>
      </c>
      <c r="AO29" s="18">
        <f t="shared" si="17"/>
        <v>5026.4898021053341</v>
      </c>
      <c r="AP29" s="21">
        <f t="shared" si="18"/>
        <v>0.50660663204497902</v>
      </c>
      <c r="AQ29" s="21">
        <f t="shared" si="82"/>
        <v>1</v>
      </c>
      <c r="AR29" s="18">
        <f>LAT_FEC!$B156*$D$10/SUM($D$9:$D$13)</f>
        <v>9.3093671278779251</v>
      </c>
      <c r="AS29" s="18">
        <f t="shared" si="19"/>
        <v>9.3093671278779251</v>
      </c>
      <c r="AT29" s="18">
        <f t="shared" si="20"/>
        <v>9.3093671278779251</v>
      </c>
      <c r="AU29" s="21">
        <f t="shared" si="21"/>
        <v>1</v>
      </c>
      <c r="AV29" s="18">
        <f t="shared" si="83"/>
        <v>0.77207006849134108</v>
      </c>
      <c r="AW29" s="18">
        <f>LAT_FEC!$B156*$D$11/SUM($D$9:$D$13)</f>
        <v>2082.0868921407719</v>
      </c>
      <c r="AX29" s="18">
        <f t="shared" si="22"/>
        <v>1078.7001915438134</v>
      </c>
      <c r="AY29" s="18">
        <f t="shared" si="23"/>
        <v>1874.832792751226</v>
      </c>
      <c r="AZ29" s="21">
        <f t="shared" si="24"/>
        <v>0.57535807764535274</v>
      </c>
      <c r="BA29" s="18">
        <f t="shared" si="84"/>
        <v>0.92205940958439325</v>
      </c>
      <c r="BB29" s="18">
        <f>LAT_FEC!$B156*$D$12/SUM($D$9:$D$13)</f>
        <v>702.33434243820216</v>
      </c>
      <c r="BC29" s="18">
        <f t="shared" si="25"/>
        <v>647.59398911941173</v>
      </c>
      <c r="BD29" s="18">
        <f t="shared" si="26"/>
        <v>702.33434243820216</v>
      </c>
      <c r="BE29" s="21">
        <f t="shared" si="27"/>
        <v>0.92205940958439325</v>
      </c>
      <c r="BF29" s="18">
        <f t="shared" si="85"/>
        <v>1</v>
      </c>
      <c r="BG29" s="18">
        <f>LAT_FEC!$B156*$D$13/SUM($D$9:$D$13)</f>
        <v>1619.5884161529912</v>
      </c>
      <c r="BH29" s="18">
        <f t="shared" si="28"/>
        <v>1619.5884161529912</v>
      </c>
      <c r="BI29" s="18">
        <f t="shared" si="29"/>
        <v>1619.5884161529912</v>
      </c>
      <c r="BJ29" s="21">
        <f t="shared" si="30"/>
        <v>1</v>
      </c>
      <c r="BK29" s="21">
        <f t="shared" si="31"/>
        <v>0.63922123531472075</v>
      </c>
      <c r="BL29" s="18">
        <f t="shared" si="32"/>
        <v>3410.3969487411596</v>
      </c>
      <c r="BM29" s="21">
        <f t="shared" si="33"/>
        <v>0.269746894391589</v>
      </c>
      <c r="BO29" s="21">
        <f t="shared" si="86"/>
        <v>0.8420472444943784</v>
      </c>
      <c r="BP29" s="18">
        <f>LAT_FEC!$B103*$D$14/SUM($D$14:D$26)</f>
        <v>23.228638410850476</v>
      </c>
      <c r="BQ29" s="18">
        <f t="shared" si="34"/>
        <v>18.153523094491092</v>
      </c>
      <c r="BR29" s="18">
        <f t="shared" si="35"/>
        <v>23.261429474432255</v>
      </c>
      <c r="BS29" s="21">
        <f t="shared" si="36"/>
        <v>0.78041304875285045</v>
      </c>
      <c r="BT29" s="21">
        <f t="shared" si="87"/>
        <v>0.72199610070838305</v>
      </c>
      <c r="BU29" s="18">
        <f>LAT_FEC!$B103*$D$15/SUM($D$14:D$26)</f>
        <v>326.63831271740071</v>
      </c>
      <c r="BV29" s="18">
        <f t="shared" si="37"/>
        <v>170.78004776725959</v>
      </c>
      <c r="BW29" s="18">
        <f t="shared" si="38"/>
        <v>284.94805044872408</v>
      </c>
      <c r="BX29" s="21">
        <f t="shared" si="39"/>
        <v>0.59933748449348023</v>
      </c>
      <c r="BY29" s="21">
        <f t="shared" si="88"/>
        <v>0.92712263428045072</v>
      </c>
      <c r="BZ29" s="18">
        <f>LAT_FEC!$B103*$D$16/SUM($D$14:$D$26)</f>
        <v>30.167027212767628</v>
      </c>
      <c r="CA29" s="18">
        <f t="shared" si="40"/>
        <v>22.338950986551072</v>
      </c>
      <c r="CB29" s="18">
        <f t="shared" si="41"/>
        <v>25.187279866072902</v>
      </c>
      <c r="CC29" s="21">
        <f t="shared" si="42"/>
        <v>0.88691399410070837</v>
      </c>
      <c r="CD29" s="21">
        <f t="shared" si="89"/>
        <v>0.41133494711591478</v>
      </c>
      <c r="CE29" s="18">
        <f>LAT_FEC!$B103*$D$17/SUM($D$14:$D$26)</f>
        <v>2390.6305106616669</v>
      </c>
      <c r="CF29" s="18">
        <f t="shared" si="43"/>
        <v>698.14615411122998</v>
      </c>
      <c r="CG29" s="18">
        <f t="shared" si="44"/>
        <v>2229.334124868556</v>
      </c>
      <c r="CH29" s="21">
        <f t="shared" si="45"/>
        <v>0.31316353449368806</v>
      </c>
      <c r="CI29" s="21">
        <f t="shared" si="90"/>
        <v>0.85136974989876757</v>
      </c>
      <c r="CJ29" s="18">
        <f>LAT_FEC!$B103*$D$18/SUM($D$14:$D$26)</f>
        <v>131.79369311120834</v>
      </c>
      <c r="CK29" s="18">
        <f t="shared" si="46"/>
        <v>82.090324012617728</v>
      </c>
      <c r="CL29" s="18">
        <f t="shared" si="47"/>
        <v>108.63433286265372</v>
      </c>
      <c r="CM29" s="21">
        <f t="shared" si="48"/>
        <v>0.75565727564603768</v>
      </c>
      <c r="CN29" s="21">
        <f t="shared" si="91"/>
        <v>0.91481853376186228</v>
      </c>
      <c r="CO29" s="18">
        <f>LAT_FEC!$B103*$D$19/SUM($D$16:Y$28)</f>
        <v>6.7104319751091799</v>
      </c>
      <c r="CP29" s="18">
        <f t="shared" si="49"/>
        <v>4.5502266304280985</v>
      </c>
      <c r="CQ29" s="18">
        <f t="shared" si="50"/>
        <v>5.3333781610601516</v>
      </c>
      <c r="CR29" s="21">
        <f t="shared" si="51"/>
        <v>0.85316032222317029</v>
      </c>
      <c r="CS29" s="18">
        <f t="shared" si="92"/>
        <v>0.8696560284187399</v>
      </c>
      <c r="CT29" s="18">
        <f>LAT_FEC!$B103*$D$20/SUM($D$14:$D$26)</f>
        <v>219.03425369597872</v>
      </c>
      <c r="CU29" s="18">
        <f t="shared" si="52"/>
        <v>77.67334624215836</v>
      </c>
      <c r="CV29" s="18">
        <f t="shared" si="53"/>
        <v>110.31355520253732</v>
      </c>
      <c r="CW29" s="21">
        <f t="shared" si="54"/>
        <v>0.70411425050664855</v>
      </c>
      <c r="CX29" s="21">
        <f t="shared" si="93"/>
        <v>0.81995230873945202</v>
      </c>
      <c r="CY29" s="18">
        <f>LAT_FEC!$B103*$D$21/SUM($D$14:$D$26)</f>
        <v>1146.1850376707207</v>
      </c>
      <c r="CZ29" s="18">
        <f t="shared" si="55"/>
        <v>564.63115825099271</v>
      </c>
      <c r="DA29" s="18">
        <f t="shared" si="56"/>
        <v>874.58984540057668</v>
      </c>
      <c r="DB29" s="21">
        <f t="shared" si="57"/>
        <v>0.64559537390053079</v>
      </c>
      <c r="DC29" s="21">
        <f t="shared" si="94"/>
        <v>0.90519160922665365</v>
      </c>
      <c r="DD29" s="18">
        <f>LAT_FEC!$B103*$D$22/SUM($D$14:$D$26)</f>
        <v>84.405623331909496</v>
      </c>
      <c r="DE29" s="18">
        <f t="shared" si="58"/>
        <v>49.192755093946111</v>
      </c>
      <c r="DF29" s="18">
        <f t="shared" si="59"/>
        <v>62.073690745097743</v>
      </c>
      <c r="DG29" s="21">
        <f t="shared" si="60"/>
        <v>0.79248961199928492</v>
      </c>
      <c r="DH29" s="21">
        <f t="shared" si="95"/>
        <v>0.53279633298589046</v>
      </c>
      <c r="DI29" s="18">
        <f>LAT_FEC!$B103*$D$23/SUM($D$14:$D$26)</f>
        <v>9133.6241797336988</v>
      </c>
      <c r="DJ29" s="18">
        <f t="shared" si="61"/>
        <v>2285.2916465079979</v>
      </c>
      <c r="DK29" s="18">
        <f t="shared" si="62"/>
        <v>7295.1639529748827</v>
      </c>
      <c r="DL29" s="21">
        <f t="shared" si="63"/>
        <v>0.31326117702619727</v>
      </c>
      <c r="DM29" s="21">
        <f t="shared" si="96"/>
        <v>0.60512504406077472</v>
      </c>
      <c r="DN29" s="18">
        <f>LAT_FEC!$B103*$D$24/SUM($D$14:$D$26)</f>
        <v>492.94547921210676</v>
      </c>
      <c r="DO29" s="18">
        <f t="shared" si="64"/>
        <v>137.17447710083783</v>
      </c>
      <c r="DP29" s="18">
        <f t="shared" si="65"/>
        <v>388.14646670128286</v>
      </c>
      <c r="DQ29" s="21">
        <f t="shared" si="66"/>
        <v>0.35340905784003229</v>
      </c>
      <c r="DR29" s="21">
        <f t="shared" si="97"/>
        <v>0.8940554928875436</v>
      </c>
      <c r="DS29" s="18">
        <f>LAT_FEC!$B103*$D$25/SUM($D$14:$D$26)</f>
        <v>90.708382134759049</v>
      </c>
      <c r="DT29" s="18">
        <f t="shared" si="67"/>
        <v>46.922954817038438</v>
      </c>
      <c r="DU29" s="18">
        <f t="shared" si="68"/>
        <v>60.823739946984759</v>
      </c>
      <c r="DV29" s="21">
        <f t="shared" si="69"/>
        <v>0.77145790209443654</v>
      </c>
      <c r="DW29" s="21">
        <f t="shared" si="98"/>
        <v>0.77525478503251288</v>
      </c>
      <c r="DX29" s="18">
        <f>LAT_FEC!$B103*$D$26/SUM($D$14:$D$26)</f>
        <v>425.05250734625571</v>
      </c>
      <c r="DY29" s="18">
        <f t="shared" si="70"/>
        <v>217.09795895202964</v>
      </c>
      <c r="DZ29" s="18">
        <f t="shared" si="71"/>
        <v>348.31843277767371</v>
      </c>
      <c r="EA29" s="21">
        <f t="shared" si="72"/>
        <v>0.62327439067974888</v>
      </c>
      <c r="EB29" s="21">
        <f t="shared" si="73"/>
        <v>0.3701756971597791</v>
      </c>
      <c r="EC29" s="18">
        <f t="shared" si="74"/>
        <v>2684.9957977838985</v>
      </c>
      <c r="ED29" s="21">
        <f t="shared" si="75"/>
        <v>0.18515777007955012</v>
      </c>
    </row>
    <row r="30" spans="1:134" x14ac:dyDescent="0.35">
      <c r="B30" s="23" t="s">
        <v>154</v>
      </c>
      <c r="C30" s="34">
        <v>66.057000000000002</v>
      </c>
      <c r="D30" s="34">
        <v>252.01400000000001</v>
      </c>
      <c r="E30" s="21">
        <f t="shared" ref="E30:E51" si="102">IF(D30=0,0,C30/D30)</f>
        <v>0.26211639035926576</v>
      </c>
      <c r="F30" s="7"/>
      <c r="M30" s="47">
        <f t="shared" si="76"/>
        <v>2047</v>
      </c>
      <c r="N30" s="21">
        <f t="shared" si="77"/>
        <v>0.86926444041565432</v>
      </c>
      <c r="O30" s="18">
        <f>LAT_FEC!B210*D$5/SUM(D$5:D$8)</f>
        <v>355.49681007375926</v>
      </c>
      <c r="P30" s="18">
        <f t="shared" si="1"/>
        <v>216.53146307658722</v>
      </c>
      <c r="Q30" s="18">
        <f t="shared" si="2"/>
        <v>281.93183866603755</v>
      </c>
      <c r="R30" s="21">
        <f t="shared" si="3"/>
        <v>0.76802770521097341</v>
      </c>
      <c r="S30" s="21">
        <f t="shared" si="78"/>
        <v>0.7429279295351241</v>
      </c>
      <c r="T30" s="18">
        <f>LAT_FEC!B210*D$6/SUM(D$5:D$8)</f>
        <v>15470.009054055738</v>
      </c>
      <c r="U30" s="18">
        <f t="shared" si="4"/>
        <v>4630.5809010552994</v>
      </c>
      <c r="V30" s="18">
        <f t="shared" si="5"/>
        <v>8635.4994424397592</v>
      </c>
      <c r="W30" s="21">
        <f t="shared" si="6"/>
        <v>0.53622618262216415</v>
      </c>
      <c r="X30" s="21">
        <f t="shared" si="79"/>
        <v>0</v>
      </c>
      <c r="Y30" s="18">
        <f>LAT_FEC!$B210*$D$7/SUM($D$5:$D$8)</f>
        <v>12.121485667319329</v>
      </c>
      <c r="Z30" s="18">
        <f t="shared" si="7"/>
        <v>0</v>
      </c>
      <c r="AA30" s="18">
        <f t="shared" si="8"/>
        <v>12.121485667319329</v>
      </c>
      <c r="AB30" s="21">
        <f t="shared" si="9"/>
        <v>0</v>
      </c>
      <c r="AC30" s="21">
        <f t="shared" si="80"/>
        <v>0</v>
      </c>
      <c r="AD30" s="18">
        <f>LAT_FEC!$B210*$D$8/SUM($D$5:$D$8)</f>
        <v>12.902970952981486</v>
      </c>
      <c r="AE30" s="18">
        <f t="shared" si="10"/>
        <v>0</v>
      </c>
      <c r="AF30" s="18">
        <f t="shared" si="11"/>
        <v>12.902970952981486</v>
      </c>
      <c r="AG30" s="21">
        <f t="shared" si="12"/>
        <v>0</v>
      </c>
      <c r="AH30" s="21">
        <f t="shared" si="13"/>
        <v>0.54203369927603551</v>
      </c>
      <c r="AI30" s="18">
        <f t="shared" si="14"/>
        <v>6908.0745830236992</v>
      </c>
      <c r="AJ30" s="21">
        <f t="shared" si="15"/>
        <v>0.43582608551465285</v>
      </c>
      <c r="AL30" s="21">
        <f t="shared" si="81"/>
        <v>0.73432239801439891</v>
      </c>
      <c r="AM30" s="18">
        <f>LAT_FEC!B157*$D$9/SUM($D$9:$D$13)</f>
        <v>8098.2746479454254</v>
      </c>
      <c r="AN30" s="18">
        <f t="shared" si="16"/>
        <v>2558.936656718894</v>
      </c>
      <c r="AO30" s="18">
        <f t="shared" si="17"/>
        <v>4866.9414634725536</v>
      </c>
      <c r="AP30" s="21">
        <f t="shared" si="18"/>
        <v>0.52577921389116067</v>
      </c>
      <c r="AQ30" s="21">
        <f t="shared" si="82"/>
        <v>1</v>
      </c>
      <c r="AR30" s="18">
        <f>LAT_FEC!$B157*$D$10/SUM($D$9:$D$13)</f>
        <v>9.1607748478012052</v>
      </c>
      <c r="AS30" s="18">
        <f t="shared" si="19"/>
        <v>9.1607748478012052</v>
      </c>
      <c r="AT30" s="18">
        <f t="shared" si="20"/>
        <v>9.1607748478012052</v>
      </c>
      <c r="AU30" s="21">
        <f t="shared" si="21"/>
        <v>1</v>
      </c>
      <c r="AV30" s="18">
        <f t="shared" si="83"/>
        <v>0.77457593569947025</v>
      </c>
      <c r="AW30" s="18">
        <f>LAT_FEC!$B157*$D$11/SUM($D$9:$D$13)</f>
        <v>2048.8534795606006</v>
      </c>
      <c r="AX30" s="18">
        <f t="shared" si="22"/>
        <v>1064.9276214732433</v>
      </c>
      <c r="AY30" s="18">
        <f t="shared" si="23"/>
        <v>1839.7396881610994</v>
      </c>
      <c r="AZ30" s="21">
        <f t="shared" si="24"/>
        <v>0.57884690335603151</v>
      </c>
      <c r="BA30" s="18">
        <f t="shared" si="84"/>
        <v>0.94079711892691797</v>
      </c>
      <c r="BB30" s="18">
        <f>LAT_FEC!$B157*$D$12/SUM($D$9:$D$13)</f>
        <v>691.12397121902916</v>
      </c>
      <c r="BC30" s="18">
        <f t="shared" si="25"/>
        <v>650.20744094419285</v>
      </c>
      <c r="BD30" s="18">
        <f t="shared" si="26"/>
        <v>691.12397121902916</v>
      </c>
      <c r="BE30" s="21">
        <f t="shared" si="27"/>
        <v>0.94079711892691809</v>
      </c>
      <c r="BF30" s="18">
        <f t="shared" si="85"/>
        <v>1</v>
      </c>
      <c r="BG30" s="18">
        <f>LAT_FEC!$B157*$D$13/SUM($D$9:$D$13)</f>
        <v>1593.7372135700207</v>
      </c>
      <c r="BH30" s="18">
        <f t="shared" si="28"/>
        <v>1593.7372135700207</v>
      </c>
      <c r="BI30" s="18">
        <f t="shared" si="29"/>
        <v>1593.7372135700207</v>
      </c>
      <c r="BJ30" s="21">
        <f t="shared" si="30"/>
        <v>1</v>
      </c>
      <c r="BK30" s="21">
        <f t="shared" si="31"/>
        <v>0.65294562379189303</v>
      </c>
      <c r="BL30" s="18">
        <f t="shared" si="32"/>
        <v>3440.4469758723717</v>
      </c>
      <c r="BM30" s="21">
        <f t="shared" si="33"/>
        <v>0.27653769561287195</v>
      </c>
      <c r="BO30" s="21">
        <f t="shared" si="86"/>
        <v>0.84197016279899495</v>
      </c>
      <c r="BP30" s="18">
        <f>LAT_FEC!$B104*$D$14/SUM($D$14:D$26)</f>
        <v>23.517497805409576</v>
      </c>
      <c r="BQ30" s="18">
        <f t="shared" si="34"/>
        <v>18.377588512930402</v>
      </c>
      <c r="BR30" s="18">
        <f t="shared" si="35"/>
        <v>23.551537868554025</v>
      </c>
      <c r="BS30" s="21">
        <f t="shared" si="36"/>
        <v>0.780313736431969</v>
      </c>
      <c r="BT30" s="21">
        <f t="shared" si="87"/>
        <v>0.72806272134633587</v>
      </c>
      <c r="BU30" s="18">
        <f>LAT_FEC!$B104*$D$15/SUM($D$14:D$26)</f>
        <v>330.70021869667164</v>
      </c>
      <c r="BV30" s="18">
        <f t="shared" si="37"/>
        <v>174.35661617075942</v>
      </c>
      <c r="BW30" s="18">
        <f t="shared" si="38"/>
        <v>287.4219896573756</v>
      </c>
      <c r="BX30" s="21">
        <f t="shared" si="39"/>
        <v>0.6066223964930556</v>
      </c>
      <c r="BY30" s="21">
        <f t="shared" si="88"/>
        <v>0.93554097942054404</v>
      </c>
      <c r="BZ30" s="18">
        <f>LAT_FEC!$B104*$D$16/SUM($D$14:$D$26)</f>
        <v>30.542168840193263</v>
      </c>
      <c r="CA30" s="18">
        <f t="shared" si="40"/>
        <v>22.822108493174674</v>
      </c>
      <c r="CB30" s="18">
        <f t="shared" si="41"/>
        <v>25.372744746883949</v>
      </c>
      <c r="CC30" s="21">
        <f t="shared" si="42"/>
        <v>0.89947338062341398</v>
      </c>
      <c r="CD30" s="21">
        <f t="shared" si="89"/>
        <v>0.4158568217440739</v>
      </c>
      <c r="CE30" s="18">
        <f>LAT_FEC!$B104*$D$17/SUM($D$14:$D$26)</f>
        <v>2420.3591615498599</v>
      </c>
      <c r="CF30" s="18">
        <f t="shared" si="43"/>
        <v>714.59821950999662</v>
      </c>
      <c r="CG30" s="18">
        <f t="shared" si="44"/>
        <v>2252.9190556906628</v>
      </c>
      <c r="CH30" s="21">
        <f t="shared" si="45"/>
        <v>0.31718770264070889</v>
      </c>
      <c r="CI30" s="21">
        <f t="shared" si="90"/>
        <v>0.85851153140638914</v>
      </c>
      <c r="CJ30" s="18">
        <f>LAT_FEC!$B104*$D$18/SUM($D$14:$D$26)</f>
        <v>133.43261166189831</v>
      </c>
      <c r="CK30" s="18">
        <f t="shared" si="46"/>
        <v>83.808341459963856</v>
      </c>
      <c r="CL30" s="18">
        <f t="shared" si="47"/>
        <v>109.39111989144293</v>
      </c>
      <c r="CM30" s="21">
        <f t="shared" si="48"/>
        <v>0.76613477897596449</v>
      </c>
      <c r="CN30" s="21">
        <f t="shared" si="91"/>
        <v>0.92308705600558705</v>
      </c>
      <c r="CO30" s="18">
        <f>LAT_FEC!$B104*$D$19/SUM($D$16:Y$28)</f>
        <v>6.7938794541768566</v>
      </c>
      <c r="CP30" s="18">
        <f t="shared" si="49"/>
        <v>4.6484492400930613</v>
      </c>
      <c r="CQ30" s="18">
        <f t="shared" si="50"/>
        <v>5.3643741663526789</v>
      </c>
      <c r="CR30" s="21">
        <f t="shared" si="51"/>
        <v>0.86654082954351674</v>
      </c>
      <c r="CS30" s="18">
        <f t="shared" si="92"/>
        <v>0.88675635565942235</v>
      </c>
      <c r="CT30" s="18">
        <f>LAT_FEC!$B104*$D$20/SUM($D$14:$D$26)</f>
        <v>221.75805096688421</v>
      </c>
      <c r="CU30" s="18">
        <f t="shared" si="52"/>
        <v>80.185561007388088</v>
      </c>
      <c r="CV30" s="18">
        <f t="shared" si="53"/>
        <v>108.89622101752892</v>
      </c>
      <c r="CW30" s="21">
        <f t="shared" si="54"/>
        <v>0.73634842658571875</v>
      </c>
      <c r="CX30" s="21">
        <f t="shared" si="93"/>
        <v>0.82661492489986998</v>
      </c>
      <c r="CY30" s="18">
        <f>LAT_FEC!$B104*$D$21/SUM($D$14:$D$26)</f>
        <v>1160.4384050088429</v>
      </c>
      <c r="CZ30" s="18">
        <f t="shared" si="55"/>
        <v>576.29764947269894</v>
      </c>
      <c r="DA30" s="18">
        <f t="shared" si="56"/>
        <v>878.49825166348342</v>
      </c>
      <c r="DB30" s="21">
        <f t="shared" si="57"/>
        <v>0.65600318313832562</v>
      </c>
      <c r="DC30" s="21">
        <f t="shared" si="94"/>
        <v>0.91213329010711741</v>
      </c>
      <c r="DD30" s="18">
        <f>LAT_FEC!$B104*$D$22/SUM($D$14:$D$26)</f>
        <v>85.455248231216984</v>
      </c>
      <c r="DE30" s="18">
        <f t="shared" si="58"/>
        <v>50.18642867257303</v>
      </c>
      <c r="DF30" s="18">
        <f t="shared" si="59"/>
        <v>62.272700538099834</v>
      </c>
      <c r="DG30" s="21">
        <f t="shared" si="60"/>
        <v>0.80591379912724115</v>
      </c>
      <c r="DH30" s="21">
        <f t="shared" si="95"/>
        <v>0.54003690366036239</v>
      </c>
      <c r="DI30" s="18">
        <f>LAT_FEC!$B104*$D$23/SUM($D$14:$D$26)</f>
        <v>9247.2052301604781</v>
      </c>
      <c r="DJ30" s="18">
        <f t="shared" si="61"/>
        <v>2345.1531102345716</v>
      </c>
      <c r="DK30" s="18">
        <f t="shared" si="62"/>
        <v>7338.7187289113735</v>
      </c>
      <c r="DL30" s="21">
        <f t="shared" si="63"/>
        <v>0.3195589307702561</v>
      </c>
      <c r="DM30" s="21">
        <f t="shared" si="96"/>
        <v>0.6116195436749029</v>
      </c>
      <c r="DN30" s="18">
        <f>LAT_FEC!$B104*$D$24/SUM($D$14:$D$26)</f>
        <v>499.07549553752955</v>
      </c>
      <c r="DO30" s="18">
        <f t="shared" si="64"/>
        <v>140.37084009194461</v>
      </c>
      <c r="DP30" s="18">
        <f t="shared" si="65"/>
        <v>390.28472714883594</v>
      </c>
      <c r="DQ30" s="21">
        <f t="shared" si="66"/>
        <v>0.35966265223187655</v>
      </c>
      <c r="DR30" s="21">
        <f t="shared" si="97"/>
        <v>0.90367440921174857</v>
      </c>
      <c r="DS30" s="18">
        <f>LAT_FEC!$B104*$D$25/SUM($D$14:$D$26)</f>
        <v>91.836384899339649</v>
      </c>
      <c r="DT30" s="18">
        <f t="shared" si="67"/>
        <v>48.017574542871742</v>
      </c>
      <c r="DU30" s="18">
        <f t="shared" si="68"/>
        <v>60.81344767182194</v>
      </c>
      <c r="DV30" s="21">
        <f t="shared" si="69"/>
        <v>0.78958809903357619</v>
      </c>
      <c r="DW30" s="21">
        <f t="shared" si="98"/>
        <v>0.78165433400494844</v>
      </c>
      <c r="DX30" s="18">
        <f>LAT_FEC!$B104*$D$26/SUM($D$14:$D$26)</f>
        <v>430.33824160911786</v>
      </c>
      <c r="DY30" s="18">
        <f t="shared" si="70"/>
        <v>221.61205645696072</v>
      </c>
      <c r="DZ30" s="18">
        <f t="shared" si="71"/>
        <v>350.68139433635224</v>
      </c>
      <c r="EA30" s="21">
        <f t="shared" si="72"/>
        <v>0.63194700385046354</v>
      </c>
      <c r="EB30" s="21">
        <f t="shared" si="73"/>
        <v>0.3766911357682749</v>
      </c>
      <c r="EC30" s="18">
        <f t="shared" si="74"/>
        <v>2787.2663011128498</v>
      </c>
      <c r="ED30" s="21">
        <f t="shared" si="75"/>
        <v>0.1898494909265247</v>
      </c>
    </row>
    <row r="31" spans="1:134" x14ac:dyDescent="0.35">
      <c r="B31" s="23" t="s">
        <v>157</v>
      </c>
      <c r="C31" s="34">
        <v>55.283999999999999</v>
      </c>
      <c r="D31" s="34">
        <v>10966.79</v>
      </c>
      <c r="E31" s="21">
        <f t="shared" si="102"/>
        <v>5.0410375324046507E-3</v>
      </c>
      <c r="F31" s="7"/>
      <c r="M31" s="47">
        <f t="shared" si="76"/>
        <v>2048</v>
      </c>
      <c r="N31" s="21">
        <f t="shared" si="77"/>
        <v>0.87679494075886721</v>
      </c>
      <c r="O31" s="18">
        <f>LAT_FEC!B211*D$5/SUM(D$5:D$8)</f>
        <v>358.32094364705904</v>
      </c>
      <c r="P31" s="18">
        <f t="shared" si="1"/>
        <v>220.14235933630516</v>
      </c>
      <c r="Q31" s="18">
        <f t="shared" si="2"/>
        <v>282.26523332537954</v>
      </c>
      <c r="R31" s="21">
        <f t="shared" si="3"/>
        <v>0.77991312193428153</v>
      </c>
      <c r="S31" s="21">
        <f t="shared" si="78"/>
        <v>0.7569111220338387</v>
      </c>
      <c r="T31" s="18">
        <f>LAT_FEC!B211*D$6/SUM(D$5:D$8)</f>
        <v>15592.905717853495</v>
      </c>
      <c r="U31" s="18">
        <f t="shared" si="4"/>
        <v>4755.2150534521952</v>
      </c>
      <c r="V31" s="18">
        <f t="shared" si="5"/>
        <v>8572.3750678286196</v>
      </c>
      <c r="W31" s="21">
        <f t="shared" si="6"/>
        <v>0.5547138355271114</v>
      </c>
      <c r="X31" s="21">
        <f t="shared" si="79"/>
        <v>0</v>
      </c>
      <c r="Y31" s="18">
        <f>LAT_FEC!$B211*$D$7/SUM($D$5:$D$8)</f>
        <v>12.217781031050571</v>
      </c>
      <c r="Z31" s="18">
        <f t="shared" si="7"/>
        <v>0</v>
      </c>
      <c r="AA31" s="18">
        <f t="shared" si="8"/>
        <v>12.217781031050571</v>
      </c>
      <c r="AB31" s="21">
        <f t="shared" si="9"/>
        <v>0</v>
      </c>
      <c r="AC31" s="21">
        <f t="shared" si="80"/>
        <v>0</v>
      </c>
      <c r="AD31" s="18">
        <f>LAT_FEC!$B211*$D$8/SUM($D$5:$D$8)</f>
        <v>13.005474582918605</v>
      </c>
      <c r="AE31" s="18">
        <f t="shared" si="10"/>
        <v>0</v>
      </c>
      <c r="AF31" s="18">
        <f t="shared" si="11"/>
        <v>13.005474582918605</v>
      </c>
      <c r="AG31" s="21">
        <f t="shared" si="12"/>
        <v>0</v>
      </c>
      <c r="AH31" s="21">
        <f t="shared" si="13"/>
        <v>0.56029660602120746</v>
      </c>
      <c r="AI31" s="18">
        <f t="shared" si="14"/>
        <v>7096.586360346555</v>
      </c>
      <c r="AJ31" s="21">
        <f t="shared" si="15"/>
        <v>0.44419044263046492</v>
      </c>
      <c r="AL31" s="21">
        <f t="shared" si="81"/>
        <v>0.74612473759072362</v>
      </c>
      <c r="AM31" s="18">
        <f>LAT_FEC!B158*$D$9/SUM($D$9:$D$13)</f>
        <v>7969.6477043788118</v>
      </c>
      <c r="AN31" s="18">
        <f t="shared" si="16"/>
        <v>2558.7674777302814</v>
      </c>
      <c r="AO31" s="18">
        <f t="shared" si="17"/>
        <v>4729.2124226605301</v>
      </c>
      <c r="AP31" s="21">
        <f t="shared" si="18"/>
        <v>0.54105572959033765</v>
      </c>
      <c r="AQ31" s="21">
        <f t="shared" si="82"/>
        <v>1</v>
      </c>
      <c r="AR31" s="18">
        <f>LAT_FEC!$B158*$D$10/SUM($D$9:$D$13)</f>
        <v>9.0152719449484913</v>
      </c>
      <c r="AS31" s="18">
        <f t="shared" si="19"/>
        <v>9.0152719449484913</v>
      </c>
      <c r="AT31" s="18">
        <f t="shared" si="20"/>
        <v>9.0152719449484913</v>
      </c>
      <c r="AU31" s="21">
        <f t="shared" si="21"/>
        <v>1</v>
      </c>
      <c r="AV31" s="18">
        <f t="shared" si="83"/>
        <v>0.77651578103614727</v>
      </c>
      <c r="AW31" s="18">
        <f>LAT_FEC!$B158*$D$11/SUM($D$9:$D$13)</f>
        <v>2016.3110217719452</v>
      </c>
      <c r="AX31" s="18">
        <f t="shared" si="22"/>
        <v>1050.6377472931961</v>
      </c>
      <c r="AY31" s="18">
        <f t="shared" si="23"/>
        <v>1806.5816769015998</v>
      </c>
      <c r="AZ31" s="21">
        <f t="shared" si="24"/>
        <v>0.58156116644286204</v>
      </c>
      <c r="BA31" s="18">
        <f t="shared" si="84"/>
        <v>0.95530238000786816</v>
      </c>
      <c r="BB31" s="18">
        <f>LAT_FEC!$B158*$D$12/SUM($D$9:$D$13)</f>
        <v>680.1466744603822</v>
      </c>
      <c r="BC31" s="18">
        <f t="shared" si="25"/>
        <v>649.74573686643987</v>
      </c>
      <c r="BD31" s="18">
        <f t="shared" si="26"/>
        <v>680.1466744603822</v>
      </c>
      <c r="BE31" s="21">
        <f t="shared" si="27"/>
        <v>0.95530238000786816</v>
      </c>
      <c r="BF31" s="18">
        <f t="shared" si="85"/>
        <v>1</v>
      </c>
      <c r="BG31" s="18">
        <f>LAT_FEC!$B158*$D$13/SUM($D$9:$D$13)</f>
        <v>1568.4234824925134</v>
      </c>
      <c r="BH31" s="18">
        <f t="shared" si="28"/>
        <v>1568.4234824925134</v>
      </c>
      <c r="BI31" s="18">
        <f t="shared" si="29"/>
        <v>1568.4234824925134</v>
      </c>
      <c r="BJ31" s="21">
        <f t="shared" si="30"/>
        <v>1</v>
      </c>
      <c r="BK31" s="21">
        <f t="shared" si="31"/>
        <v>0.66374818662575896</v>
      </c>
      <c r="BL31" s="18">
        <f t="shared" si="32"/>
        <v>3450.1646265886266</v>
      </c>
      <c r="BM31" s="21">
        <f t="shared" si="33"/>
        <v>0.28179459990479622</v>
      </c>
      <c r="BO31" s="21">
        <f t="shared" si="86"/>
        <v>0.84191049221196324</v>
      </c>
      <c r="BP31" s="18">
        <f>LAT_FEC!$B105*$D$14/SUM($D$14:D$26)</f>
        <v>23.811844710750901</v>
      </c>
      <c r="BQ31" s="18">
        <f t="shared" si="34"/>
        <v>18.606285173235758</v>
      </c>
      <c r="BR31" s="18">
        <f t="shared" si="35"/>
        <v>23.846970184309594</v>
      </c>
      <c r="BS31" s="21">
        <f t="shared" si="36"/>
        <v>0.78023686151450766</v>
      </c>
      <c r="BT31" s="21">
        <f t="shared" si="87"/>
        <v>0.73275902197860576</v>
      </c>
      <c r="BU31" s="18">
        <f>LAT_FEC!$B105*$D$15/SUM($D$14:D$26)</f>
        <v>334.83928939094733</v>
      </c>
      <c r="BV31" s="18">
        <f t="shared" si="37"/>
        <v>177.6776252397388</v>
      </c>
      <c r="BW31" s="18">
        <f t="shared" si="38"/>
        <v>290.18107934779641</v>
      </c>
      <c r="BX31" s="21">
        <f t="shared" si="39"/>
        <v>0.61229913969264471</v>
      </c>
      <c r="BY31" s="21">
        <f t="shared" si="88"/>
        <v>0.94205780022795593</v>
      </c>
      <c r="BZ31" s="18">
        <f>LAT_FEC!$B105*$D$16/SUM($D$14:$D$26)</f>
        <v>30.924437096574483</v>
      </c>
      <c r="CA31" s="18">
        <f t="shared" si="40"/>
        <v>23.268716554938706</v>
      </c>
      <c r="CB31" s="18">
        <f t="shared" si="41"/>
        <v>25.590179385809176</v>
      </c>
      <c r="CC31" s="21">
        <f t="shared" si="42"/>
        <v>0.90928305754051031</v>
      </c>
      <c r="CD31" s="21">
        <f t="shared" si="89"/>
        <v>0.41935730149097206</v>
      </c>
      <c r="CE31" s="18">
        <f>LAT_FEC!$B105*$D$17/SUM($D$14:$D$26)</f>
        <v>2450.6525726479081</v>
      </c>
      <c r="CF31" s="18">
        <f t="shared" si="43"/>
        <v>729.63261362886965</v>
      </c>
      <c r="CG31" s="18">
        <f t="shared" si="44"/>
        <v>2277.8734274957833</v>
      </c>
      <c r="CH31" s="21">
        <f t="shared" si="45"/>
        <v>0.32031306253526254</v>
      </c>
      <c r="CI31" s="21">
        <f t="shared" si="90"/>
        <v>0.86404013703568305</v>
      </c>
      <c r="CJ31" s="18">
        <f>LAT_FEC!$B105*$D$18/SUM($D$14:$D$26)</f>
        <v>135.10266502553702</v>
      </c>
      <c r="CK31" s="18">
        <f t="shared" si="46"/>
        <v>85.403753790637595</v>
      </c>
      <c r="CL31" s="18">
        <f t="shared" si="47"/>
        <v>110.29457991972507</v>
      </c>
      <c r="CM31" s="21">
        <f t="shared" si="48"/>
        <v>0.77432412229863345</v>
      </c>
      <c r="CN31" s="21">
        <f t="shared" si="91"/>
        <v>0.92948789570837187</v>
      </c>
      <c r="CO31" s="18">
        <f>LAT_FEC!$B105*$D$19/SUM($D$16:Y$28)</f>
        <v>6.8789121991204514</v>
      </c>
      <c r="CP31" s="18">
        <f t="shared" si="49"/>
        <v>4.7392661620857339</v>
      </c>
      <c r="CQ31" s="18">
        <f t="shared" si="50"/>
        <v>5.4038253293808891</v>
      </c>
      <c r="CR31" s="21">
        <f t="shared" si="51"/>
        <v>0.8770206054437194</v>
      </c>
      <c r="CS31" s="18">
        <f t="shared" si="92"/>
        <v>0.89999408427723449</v>
      </c>
      <c r="CT31" s="18">
        <f>LAT_FEC!$B105*$D$20/SUM($D$14:$D$26)</f>
        <v>224.53359267530578</v>
      </c>
      <c r="CU31" s="18">
        <f t="shared" si="52"/>
        <v>82.40118294067338</v>
      </c>
      <c r="CV31" s="18">
        <f t="shared" si="53"/>
        <v>108.07302070605434</v>
      </c>
      <c r="CW31" s="21">
        <f t="shared" si="54"/>
        <v>0.76245840453367841</v>
      </c>
      <c r="CX31" s="21">
        <f t="shared" si="93"/>
        <v>0.83177259839786233</v>
      </c>
      <c r="CY31" s="18">
        <f>LAT_FEC!$B105*$D$21/SUM($D$14:$D$26)</f>
        <v>1174.9625459774031</v>
      </c>
      <c r="CZ31" s="18">
        <f t="shared" si="55"/>
        <v>587.15145893347812</v>
      </c>
      <c r="DA31" s="18">
        <f t="shared" si="56"/>
        <v>884.032374683591</v>
      </c>
      <c r="DB31" s="21">
        <f t="shared" si="57"/>
        <v>0.66417415894257126</v>
      </c>
      <c r="DC31" s="21">
        <f t="shared" si="94"/>
        <v>0.91750699356633658</v>
      </c>
      <c r="DD31" s="18">
        <f>LAT_FEC!$B105*$D$22/SUM($D$14:$D$26)</f>
        <v>86.524813032292357</v>
      </c>
      <c r="DE31" s="18">
        <f t="shared" si="58"/>
        <v>51.113932858280315</v>
      </c>
      <c r="DF31" s="18">
        <f t="shared" si="59"/>
        <v>62.603060520779977</v>
      </c>
      <c r="DG31" s="21">
        <f t="shared" si="60"/>
        <v>0.81647658170504223</v>
      </c>
      <c r="DH31" s="21">
        <f t="shared" si="95"/>
        <v>0.54564198409407005</v>
      </c>
      <c r="DI31" s="18">
        <f>LAT_FEC!$B105*$D$23/SUM($D$14:$D$26)</f>
        <v>9362.9439990157134</v>
      </c>
      <c r="DJ31" s="18">
        <f t="shared" si="61"/>
        <v>2399.150390648982</v>
      </c>
      <c r="DK31" s="18">
        <f t="shared" si="62"/>
        <v>7393.6029947913194</v>
      </c>
      <c r="DL31" s="21">
        <f t="shared" si="63"/>
        <v>0.32449002094637036</v>
      </c>
      <c r="DM31" s="21">
        <f t="shared" si="96"/>
        <v>0.616647074563071</v>
      </c>
      <c r="DN31" s="18">
        <f>LAT_FEC!$B105*$D$24/SUM($D$14:$D$26)</f>
        <v>505.3219648200469</v>
      </c>
      <c r="DO31" s="18">
        <f t="shared" si="64"/>
        <v>143.2960270866983</v>
      </c>
      <c r="DP31" s="18">
        <f t="shared" si="65"/>
        <v>393.06226535206054</v>
      </c>
      <c r="DQ31" s="21">
        <f t="shared" si="66"/>
        <v>0.36456317412802269</v>
      </c>
      <c r="DR31" s="21">
        <f t="shared" si="97"/>
        <v>0.91112061781963649</v>
      </c>
      <c r="DS31" s="18">
        <f>LAT_FEC!$B105*$D$25/SUM($D$14:$D$26)</f>
        <v>92.985816523253192</v>
      </c>
      <c r="DT31" s="18">
        <f t="shared" si="67"/>
        <v>49.019179691371257</v>
      </c>
      <c r="DU31" s="18">
        <f t="shared" si="68"/>
        <v>60.973673752715619</v>
      </c>
      <c r="DV31" s="21">
        <f t="shared" si="69"/>
        <v>0.80394007240195298</v>
      </c>
      <c r="DW31" s="21">
        <f t="shared" si="98"/>
        <v>0.7866083615730266</v>
      </c>
      <c r="DX31" s="18">
        <f>LAT_FEC!$B105*$D$26/SUM($D$14:$D$26)</f>
        <v>435.72438985991238</v>
      </c>
      <c r="DY31" s="18">
        <f t="shared" si="70"/>
        <v>225.80789988435302</v>
      </c>
      <c r="DZ31" s="18">
        <f t="shared" si="71"/>
        <v>353.5275833858687</v>
      </c>
      <c r="EA31" s="21">
        <f t="shared" si="72"/>
        <v>0.63872781218852714</v>
      </c>
      <c r="EB31" s="21">
        <f t="shared" si="73"/>
        <v>0.38178692994708802</v>
      </c>
      <c r="EC31" s="18">
        <f t="shared" si="74"/>
        <v>2876.1418081195698</v>
      </c>
      <c r="ED31" s="21">
        <f t="shared" si="75"/>
        <v>0.19348145225969879</v>
      </c>
    </row>
    <row r="32" spans="1:134" x14ac:dyDescent="0.35">
      <c r="B32" s="23" t="s">
        <v>158</v>
      </c>
      <c r="C32" s="34">
        <v>0</v>
      </c>
      <c r="D32" s="34">
        <v>8.593</v>
      </c>
      <c r="E32" s="21">
        <f t="shared" si="102"/>
        <v>0</v>
      </c>
      <c r="F32" s="7"/>
      <c r="M32" s="47">
        <f t="shared" si="76"/>
        <v>2049</v>
      </c>
      <c r="N32" s="21">
        <f t="shared" si="77"/>
        <v>0.88256213285480833</v>
      </c>
      <c r="O32" s="18">
        <f>LAT_FEC!B212*D$5/SUM(D$5:D$8)</f>
        <v>361.19662433428545</v>
      </c>
      <c r="P32" s="18">
        <f t="shared" si="1"/>
        <v>223.36872272401271</v>
      </c>
      <c r="Q32" s="18">
        <f t="shared" si="2"/>
        <v>283.05886887326682</v>
      </c>
      <c r="R32" s="21">
        <f t="shared" si="3"/>
        <v>0.78912462136638084</v>
      </c>
      <c r="S32" s="21">
        <f t="shared" si="78"/>
        <v>0.76762007277803368</v>
      </c>
      <c r="T32" s="18">
        <f>LAT_FEC!B212*D$6/SUM(D$5:D$8)</f>
        <v>15718.045536291629</v>
      </c>
      <c r="U32" s="18">
        <f t="shared" si="4"/>
        <v>4861.1955110784156</v>
      </c>
      <c r="V32" s="18">
        <f t="shared" si="5"/>
        <v>8539.4805256809886</v>
      </c>
      <c r="W32" s="21">
        <f t="shared" si="6"/>
        <v>0.56926126787914366</v>
      </c>
      <c r="X32" s="21">
        <f t="shared" si="79"/>
        <v>0</v>
      </c>
      <c r="Y32" s="18">
        <f>LAT_FEC!$B212*$D$7/SUM($D$5:$D$8)</f>
        <v>12.315834012810855</v>
      </c>
      <c r="Z32" s="18">
        <f t="shared" si="7"/>
        <v>0</v>
      </c>
      <c r="AA32" s="18">
        <f t="shared" si="8"/>
        <v>12.315834012810855</v>
      </c>
      <c r="AB32" s="21">
        <f t="shared" si="9"/>
        <v>0</v>
      </c>
      <c r="AC32" s="21">
        <f t="shared" si="80"/>
        <v>0</v>
      </c>
      <c r="AD32" s="18">
        <f>LAT_FEC!$B212*$D$8/SUM($D$5:$D$8)</f>
        <v>13.109849146419283</v>
      </c>
      <c r="AE32" s="18">
        <f t="shared" si="10"/>
        <v>0</v>
      </c>
      <c r="AF32" s="18">
        <f t="shared" si="11"/>
        <v>13.109849146419283</v>
      </c>
      <c r="AG32" s="21">
        <f t="shared" si="12"/>
        <v>0</v>
      </c>
      <c r="AH32" s="21">
        <f t="shared" si="13"/>
        <v>0.57465916616348078</v>
      </c>
      <c r="AI32" s="18">
        <f t="shared" si="14"/>
        <v>7256.7027660716594</v>
      </c>
      <c r="AJ32" s="21">
        <f t="shared" si="15"/>
        <v>0.45059623933020448</v>
      </c>
      <c r="AL32" s="21">
        <f t="shared" si="81"/>
        <v>0.75516349416943385</v>
      </c>
      <c r="AM32" s="18">
        <f>LAT_FEC!B159*$D$9/SUM($D$9:$D$13)</f>
        <v>7843.6959599730026</v>
      </c>
      <c r="AN32" s="18">
        <f t="shared" si="16"/>
        <v>2548.8366152603098</v>
      </c>
      <c r="AO32" s="18">
        <f t="shared" si="17"/>
        <v>4608.9265902768047</v>
      </c>
      <c r="AP32" s="21">
        <f t="shared" si="18"/>
        <v>0.55302174277139671</v>
      </c>
      <c r="AQ32" s="21">
        <f t="shared" si="82"/>
        <v>1</v>
      </c>
      <c r="AR32" s="18">
        <f>LAT_FEC!$B159*$D$10/SUM($D$9:$D$13)</f>
        <v>8.872795229555523</v>
      </c>
      <c r="AS32" s="18">
        <f t="shared" si="19"/>
        <v>8.872795229555523</v>
      </c>
      <c r="AT32" s="18">
        <f t="shared" si="20"/>
        <v>8.872795229555523</v>
      </c>
      <c r="AU32" s="21">
        <f t="shared" si="21"/>
        <v>1</v>
      </c>
      <c r="AV32" s="18">
        <f t="shared" si="83"/>
        <v>0.77800140087322955</v>
      </c>
      <c r="AW32" s="18">
        <f>LAT_FEC!$B159*$D$11/SUM($D$9:$D$13)</f>
        <v>1984.4453860654507</v>
      </c>
      <c r="AX32" s="18">
        <f t="shared" si="22"/>
        <v>1036.0118426549059</v>
      </c>
      <c r="AY32" s="18">
        <f t="shared" si="23"/>
        <v>1775.0631396383969</v>
      </c>
      <c r="AZ32" s="21">
        <f t="shared" si="24"/>
        <v>0.58364788244431387</v>
      </c>
      <c r="BA32" s="18">
        <f t="shared" si="84"/>
        <v>0.96641115409231726</v>
      </c>
      <c r="BB32" s="18">
        <f>LAT_FEC!$B159*$D$12/SUM($D$9:$D$13)</f>
        <v>669.39768488421475</v>
      </c>
      <c r="BC32" s="18">
        <f t="shared" si="25"/>
        <v>646.91338919567931</v>
      </c>
      <c r="BD32" s="18">
        <f t="shared" si="26"/>
        <v>669.39768488421475</v>
      </c>
      <c r="BE32" s="21">
        <f t="shared" si="27"/>
        <v>0.96641115409231726</v>
      </c>
      <c r="BF32" s="18">
        <f t="shared" si="85"/>
        <v>1</v>
      </c>
      <c r="BG32" s="18">
        <f>LAT_FEC!$B159*$D$13/SUM($D$9:$D$13)</f>
        <v>1543.6362295404881</v>
      </c>
      <c r="BH32" s="18">
        <f t="shared" si="28"/>
        <v>1543.6362295404881</v>
      </c>
      <c r="BI32" s="18">
        <f t="shared" si="29"/>
        <v>1543.6362295404881</v>
      </c>
      <c r="BJ32" s="21">
        <f t="shared" si="30"/>
        <v>1</v>
      </c>
      <c r="BK32" s="21">
        <f t="shared" si="31"/>
        <v>0.67212880290833676</v>
      </c>
      <c r="BL32" s="18">
        <f t="shared" si="32"/>
        <v>3444.1516161232521</v>
      </c>
      <c r="BM32" s="21">
        <f t="shared" si="33"/>
        <v>0.28582057102221742</v>
      </c>
      <c r="BO32" s="21">
        <f t="shared" si="86"/>
        <v>0.84186479382245316</v>
      </c>
      <c r="BP32" s="18">
        <f>LAT_FEC!$B106*$D$14/SUM($D$14:D$26)</f>
        <v>24.111819046142376</v>
      </c>
      <c r="BQ32" s="18">
        <f t="shared" si="34"/>
        <v>18.839658801273028</v>
      </c>
      <c r="BR32" s="18">
        <f t="shared" si="35"/>
        <v>24.147898350037647</v>
      </c>
      <c r="BS32" s="21">
        <f t="shared" si="36"/>
        <v>0.78017799015804035</v>
      </c>
      <c r="BT32" s="21">
        <f t="shared" si="87"/>
        <v>0.73635565787956558</v>
      </c>
      <c r="BU32" s="18">
        <f>LAT_FEC!$B106*$D$15/SUM($D$14:D$26)</f>
        <v>339.05749232810376</v>
      </c>
      <c r="BV32" s="18">
        <f t="shared" si="37"/>
        <v>180.79904362719441</v>
      </c>
      <c r="BW32" s="18">
        <f t="shared" si="38"/>
        <v>293.186591004219</v>
      </c>
      <c r="BX32" s="21">
        <f t="shared" si="39"/>
        <v>0.6166688695002176</v>
      </c>
      <c r="BY32" s="21">
        <f t="shared" si="88"/>
        <v>0.94704867145008453</v>
      </c>
      <c r="BZ32" s="18">
        <f>LAT_FEC!$B106*$D$16/SUM($D$14:$D$26)</f>
        <v>31.31401369503147</v>
      </c>
      <c r="CA32" s="18">
        <f t="shared" si="40"/>
        <v>23.686675625777625</v>
      </c>
      <c r="CB32" s="18">
        <f t="shared" si="41"/>
        <v>25.834904504352789</v>
      </c>
      <c r="CC32" s="21">
        <f t="shared" si="42"/>
        <v>0.9168478103639508</v>
      </c>
      <c r="CD32" s="21">
        <f t="shared" si="89"/>
        <v>0.42203812457154044</v>
      </c>
      <c r="CE32" s="18">
        <f>LAT_FEC!$B106*$D$17/SUM($D$14:$D$26)</f>
        <v>2481.5251440797028</v>
      </c>
      <c r="CF32" s="18">
        <f t="shared" si="43"/>
        <v>743.54738008585639</v>
      </c>
      <c r="CG32" s="18">
        <f t="shared" si="44"/>
        <v>2304.054190576634</v>
      </c>
      <c r="CH32" s="21">
        <f t="shared" si="45"/>
        <v>0.32271262678060941</v>
      </c>
      <c r="CI32" s="21">
        <f t="shared" si="90"/>
        <v>0.86827418912168763</v>
      </c>
      <c r="CJ32" s="18">
        <f>LAT_FEC!$B106*$D$18/SUM($D$14:$D$26)</f>
        <v>136.80464707031132</v>
      </c>
      <c r="CK32" s="18">
        <f t="shared" si="46"/>
        <v>86.903419975223741</v>
      </c>
      <c r="CL32" s="18">
        <f t="shared" si="47"/>
        <v>111.32289975389008</v>
      </c>
      <c r="CM32" s="21">
        <f t="shared" si="48"/>
        <v>0.78064279826834981</v>
      </c>
      <c r="CN32" s="21">
        <f t="shared" si="91"/>
        <v>0.93438994344210013</v>
      </c>
      <c r="CO32" s="18">
        <f>LAT_FEC!$B106*$D$19/SUM($D$16:Y$28)</f>
        <v>6.9655706306789185</v>
      </c>
      <c r="CP32" s="18">
        <f t="shared" si="49"/>
        <v>4.8242793863358981</v>
      </c>
      <c r="CQ32" s="18">
        <f t="shared" si="50"/>
        <v>5.4504278566939828</v>
      </c>
      <c r="CR32" s="21">
        <f t="shared" si="51"/>
        <v>0.8851193912072286</v>
      </c>
      <c r="CS32" s="18">
        <f t="shared" si="92"/>
        <v>0.91013212562553192</v>
      </c>
      <c r="CT32" s="18">
        <f>LAT_FEC!$B106*$D$20/SUM($D$14:$D$26)</f>
        <v>227.36219818882253</v>
      </c>
      <c r="CU32" s="18">
        <f t="shared" si="52"/>
        <v>84.379154619216209</v>
      </c>
      <c r="CV32" s="18">
        <f t="shared" si="53"/>
        <v>107.73914568038396</v>
      </c>
      <c r="CW32" s="21">
        <f t="shared" si="54"/>
        <v>0.78318009750637096</v>
      </c>
      <c r="CX32" s="21">
        <f t="shared" si="93"/>
        <v>0.83572257415981477</v>
      </c>
      <c r="CY32" s="18">
        <f>LAT_FEC!$B106*$D$21/SUM($D$14:$D$26)</f>
        <v>1189.7643646991719</v>
      </c>
      <c r="CZ32" s="18">
        <f t="shared" si="55"/>
        <v>597.37164258595442</v>
      </c>
      <c r="DA32" s="18">
        <f t="shared" si="56"/>
        <v>890.9340003235161</v>
      </c>
      <c r="DB32" s="21">
        <f t="shared" si="57"/>
        <v>0.6705004437691644</v>
      </c>
      <c r="DC32" s="21">
        <f t="shared" si="94"/>
        <v>0.92162241468093375</v>
      </c>
      <c r="DD32" s="18">
        <f>LAT_FEC!$B106*$D$22/SUM($D$14:$D$26)</f>
        <v>87.614826158092512</v>
      </c>
      <c r="DE32" s="18">
        <f t="shared" si="58"/>
        <v>51.990007199285841</v>
      </c>
      <c r="DF32" s="18">
        <f t="shared" si="59"/>
        <v>63.043479749678433</v>
      </c>
      <c r="DG32" s="21">
        <f t="shared" si="60"/>
        <v>0.82466906023776432</v>
      </c>
      <c r="DH32" s="21">
        <f t="shared" si="95"/>
        <v>0.54993460398665495</v>
      </c>
      <c r="DI32" s="18">
        <f>LAT_FEC!$B106*$D$23/SUM($D$14:$D$26)</f>
        <v>9480.8955032998092</v>
      </c>
      <c r="DJ32" s="18">
        <f t="shared" si="61"/>
        <v>2448.4862820342523</v>
      </c>
      <c r="DK32" s="18">
        <f t="shared" si="62"/>
        <v>7458.0771505138164</v>
      </c>
      <c r="DL32" s="21">
        <f t="shared" si="63"/>
        <v>0.32829994013477942</v>
      </c>
      <c r="DM32" s="21">
        <f t="shared" si="96"/>
        <v>0.6204973813260839</v>
      </c>
      <c r="DN32" s="18">
        <f>LAT_FEC!$B106*$D$24/SUM($D$14:$D$26)</f>
        <v>511.68785634995288</v>
      </c>
      <c r="DO32" s="18">
        <f t="shared" si="64"/>
        <v>146.00722981857569</v>
      </c>
      <c r="DP32" s="18">
        <f t="shared" si="65"/>
        <v>396.37975080856825</v>
      </c>
      <c r="DQ32" s="21">
        <f t="shared" si="66"/>
        <v>0.36835188861372975</v>
      </c>
      <c r="DR32" s="21">
        <f t="shared" si="97"/>
        <v>0.91682325555563304</v>
      </c>
      <c r="DS32" s="18">
        <f>LAT_FEC!$B106*$D$25/SUM($D$14:$D$26)</f>
        <v>94.157223394548751</v>
      </c>
      <c r="DT32" s="18">
        <f t="shared" si="67"/>
        <v>49.947380871976627</v>
      </c>
      <c r="DU32" s="18">
        <f t="shared" si="68"/>
        <v>61.275792616768392</v>
      </c>
      <c r="DV32" s="21">
        <f t="shared" si="69"/>
        <v>0.81512419079354848</v>
      </c>
      <c r="DW32" s="21">
        <f t="shared" si="98"/>
        <v>0.79040237622431664</v>
      </c>
      <c r="DX32" s="18">
        <f>LAT_FEC!$B106*$D$26/SUM($D$14:$D$26)</f>
        <v>441.21351243104476</v>
      </c>
      <c r="DY32" s="18">
        <f t="shared" si="70"/>
        <v>229.75540889085048</v>
      </c>
      <c r="DZ32" s="18">
        <f t="shared" si="71"/>
        <v>356.78465611848475</v>
      </c>
      <c r="EA32" s="21">
        <f t="shared" si="72"/>
        <v>0.64396101387989879</v>
      </c>
      <c r="EB32" s="21">
        <f t="shared" si="73"/>
        <v>0.38572065674540579</v>
      </c>
      <c r="EC32" s="18">
        <f t="shared" si="74"/>
        <v>2954.2432835143682</v>
      </c>
      <c r="ED32" s="21">
        <f t="shared" si="75"/>
        <v>0.19626296978692712</v>
      </c>
    </row>
    <row r="33" spans="1:134" x14ac:dyDescent="0.35">
      <c r="B33" s="23" t="s">
        <v>175</v>
      </c>
      <c r="C33" s="34">
        <v>0</v>
      </c>
      <c r="D33" s="34">
        <v>9.1470000000000002</v>
      </c>
      <c r="E33" s="21">
        <f t="shared" si="102"/>
        <v>0</v>
      </c>
      <c r="F33" s="7"/>
      <c r="M33" s="47">
        <f t="shared" si="76"/>
        <v>2050</v>
      </c>
      <c r="N33" s="21">
        <f t="shared" si="77"/>
        <v>0.88694264804658807</v>
      </c>
      <c r="O33" s="18">
        <f>LAT_FEC!B213*D$5/SUM(D$5:D$8)</f>
        <v>364.13691962009591</v>
      </c>
      <c r="P33" s="18">
        <f t="shared" si="1"/>
        <v>226.30473479627426</v>
      </c>
      <c r="Q33" s="18">
        <f t="shared" si="2"/>
        <v>284.23617526370066</v>
      </c>
      <c r="R33" s="21">
        <f t="shared" si="3"/>
        <v>0.79618554741077419</v>
      </c>
      <c r="S33" s="21">
        <f t="shared" si="78"/>
        <v>0.77575413882656741</v>
      </c>
      <c r="T33" s="18">
        <f>LAT_FEC!B213*D$6/SUM(D$5:D$8)</f>
        <v>15845.997161746855</v>
      </c>
      <c r="U33" s="18">
        <f t="shared" si="4"/>
        <v>4952.6985826185191</v>
      </c>
      <c r="V33" s="18">
        <f t="shared" si="5"/>
        <v>8531.1261742694969</v>
      </c>
      <c r="W33" s="21">
        <f t="shared" si="6"/>
        <v>0.58054452383510891</v>
      </c>
      <c r="X33" s="21">
        <f t="shared" si="79"/>
        <v>0</v>
      </c>
      <c r="Y33" s="18">
        <f>LAT_FEC!$B213*$D$7/SUM($D$5:$D$8)</f>
        <v>12.416090178702312</v>
      </c>
      <c r="Z33" s="18">
        <f t="shared" si="7"/>
        <v>0</v>
      </c>
      <c r="AA33" s="18">
        <f t="shared" si="8"/>
        <v>12.416090178702312</v>
      </c>
      <c r="AB33" s="21">
        <f t="shared" si="9"/>
        <v>0</v>
      </c>
      <c r="AC33" s="21">
        <f t="shared" si="80"/>
        <v>0</v>
      </c>
      <c r="AD33" s="18">
        <f>LAT_FEC!$B213*$D$8/SUM($D$5:$D$8)</f>
        <v>13.216568935713958</v>
      </c>
      <c r="AE33" s="18">
        <f t="shared" si="10"/>
        <v>0</v>
      </c>
      <c r="AF33" s="18">
        <f t="shared" si="11"/>
        <v>13.216568935713958</v>
      </c>
      <c r="AG33" s="21">
        <f t="shared" si="12"/>
        <v>0</v>
      </c>
      <c r="AH33" s="21">
        <f t="shared" si="13"/>
        <v>0.58579416822982855</v>
      </c>
      <c r="AI33" s="18">
        <f t="shared" si="14"/>
        <v>7394.7717318337527</v>
      </c>
      <c r="AJ33" s="21">
        <f t="shared" si="15"/>
        <v>0.45546181156914733</v>
      </c>
      <c r="AL33" s="21">
        <f t="shared" si="81"/>
        <v>0.76202895137099014</v>
      </c>
      <c r="AM33" s="18">
        <f>LAT_FEC!B160*$D$9/SUM($D$9:$D$13)</f>
        <v>7720.6154156153434</v>
      </c>
      <c r="AN33" s="18">
        <f t="shared" si="16"/>
        <v>2531.6499173603052</v>
      </c>
      <c r="AO33" s="18">
        <f t="shared" si="17"/>
        <v>4502.5531815676895</v>
      </c>
      <c r="AP33" s="21">
        <f t="shared" si="18"/>
        <v>0.56226985340767044</v>
      </c>
      <c r="AQ33" s="21">
        <f t="shared" si="82"/>
        <v>1</v>
      </c>
      <c r="AR33" s="18">
        <f>LAT_FEC!$B160*$D$10/SUM($D$9:$D$13)</f>
        <v>8.7335664179849779</v>
      </c>
      <c r="AS33" s="18">
        <f t="shared" si="19"/>
        <v>8.7335664179849779</v>
      </c>
      <c r="AT33" s="18">
        <f t="shared" si="20"/>
        <v>8.7335664179849779</v>
      </c>
      <c r="AU33" s="21">
        <f t="shared" si="21"/>
        <v>1</v>
      </c>
      <c r="AV33" s="18">
        <f t="shared" si="83"/>
        <v>0.77912981486695243</v>
      </c>
      <c r="AW33" s="18">
        <f>LAT_FEC!$B160*$D$11/SUM($D$9:$D$13)</f>
        <v>1953.3061604234333</v>
      </c>
      <c r="AX33" s="18">
        <f t="shared" si="22"/>
        <v>1021.2341595576524</v>
      </c>
      <c r="AY33" s="18">
        <f t="shared" si="23"/>
        <v>1744.9908865550933</v>
      </c>
      <c r="AZ33" s="21">
        <f t="shared" si="24"/>
        <v>0.5852375318553904</v>
      </c>
      <c r="BA33" s="18">
        <f t="shared" si="84"/>
        <v>0.97484890903951715</v>
      </c>
      <c r="BB33" s="18">
        <f>LAT_FEC!$B160*$D$12/SUM($D$9:$D$13)</f>
        <v>658.89372962284983</v>
      </c>
      <c r="BC33" s="18">
        <f t="shared" si="25"/>
        <v>642.32183349581373</v>
      </c>
      <c r="BD33" s="18">
        <f t="shared" si="26"/>
        <v>658.89372962284983</v>
      </c>
      <c r="BE33" s="21">
        <f t="shared" si="27"/>
        <v>0.97484890903951715</v>
      </c>
      <c r="BF33" s="18">
        <f t="shared" si="85"/>
        <v>1</v>
      </c>
      <c r="BG33" s="18">
        <f>LAT_FEC!$B160*$D$13/SUM($D$9:$D$13)</f>
        <v>1519.4140276102262</v>
      </c>
      <c r="BH33" s="18">
        <f t="shared" si="28"/>
        <v>1519.4140276102262</v>
      </c>
      <c r="BI33" s="18">
        <f t="shared" si="29"/>
        <v>1519.4140276102262</v>
      </c>
      <c r="BJ33" s="21">
        <f t="shared" si="30"/>
        <v>1</v>
      </c>
      <c r="BK33" s="21">
        <f t="shared" si="31"/>
        <v>0.67855777594283462</v>
      </c>
      <c r="BL33" s="18">
        <f t="shared" si="32"/>
        <v>3426.377507915995</v>
      </c>
      <c r="BM33" s="21">
        <f t="shared" si="33"/>
        <v>0.28887852840392869</v>
      </c>
      <c r="BO33" s="21">
        <f t="shared" si="86"/>
        <v>0.84183008325860198</v>
      </c>
      <c r="BP33" s="18">
        <f>LAT_FEC!$B107*$D$14/SUM($D$14:D$26)</f>
        <v>24.418357695937221</v>
      </c>
      <c r="BQ33" s="18">
        <f t="shared" si="34"/>
        <v>19.078384718913821</v>
      </c>
      <c r="BR33" s="18">
        <f t="shared" si="35"/>
        <v>24.455289006184294</v>
      </c>
      <c r="BS33" s="21">
        <f t="shared" si="36"/>
        <v>0.78013327563167412</v>
      </c>
      <c r="BT33" s="21">
        <f t="shared" si="87"/>
        <v>0.73908751038965326</v>
      </c>
      <c r="BU33" s="18">
        <f>LAT_FEC!$B107*$D$15/SUM($D$14:D$26)</f>
        <v>343.36800186295829</v>
      </c>
      <c r="BV33" s="18">
        <f t="shared" si="37"/>
        <v>183.77686538063185</v>
      </c>
      <c r="BW33" s="18">
        <f t="shared" si="38"/>
        <v>296.41386735351807</v>
      </c>
      <c r="BX33" s="21">
        <f t="shared" si="39"/>
        <v>0.62000090286413734</v>
      </c>
      <c r="BY33" s="21">
        <f t="shared" si="88"/>
        <v>0.95083952614072986</v>
      </c>
      <c r="BZ33" s="18">
        <f>LAT_FEC!$B107*$D$16/SUM($D$14:$D$26)</f>
        <v>31.712115367052274</v>
      </c>
      <c r="CA33" s="18">
        <f t="shared" si="40"/>
        <v>24.083827950097081</v>
      </c>
      <c r="CB33" s="18">
        <f t="shared" si="41"/>
        <v>26.103617986228421</v>
      </c>
      <c r="CC33" s="21">
        <f t="shared" si="42"/>
        <v>0.9226241344323638</v>
      </c>
      <c r="CD33" s="21">
        <f t="shared" si="89"/>
        <v>0.42407436439770618</v>
      </c>
      <c r="CE33" s="18">
        <f>LAT_FEC!$B107*$D$17/SUM($D$14:$D$26)</f>
        <v>2513.0732975243873</v>
      </c>
      <c r="CF33" s="18">
        <f t="shared" si="43"/>
        <v>756.63331331588245</v>
      </c>
      <c r="CG33" s="18">
        <f t="shared" si="44"/>
        <v>2331.4113989829971</v>
      </c>
      <c r="CH33" s="21">
        <f t="shared" si="45"/>
        <v>0.32453873805624323</v>
      </c>
      <c r="CI33" s="21">
        <f t="shared" si="90"/>
        <v>0.87149019600631772</v>
      </c>
      <c r="CJ33" s="18">
        <f>LAT_FEC!$B107*$D$18/SUM($D$14:$D$26)</f>
        <v>138.54387345212606</v>
      </c>
      <c r="CK33" s="18">
        <f t="shared" si="46"/>
        <v>88.334215859635918</v>
      </c>
      <c r="CL33" s="18">
        <f t="shared" si="47"/>
        <v>112.46037919979463</v>
      </c>
      <c r="CM33" s="21">
        <f t="shared" si="48"/>
        <v>0.78546966040994137</v>
      </c>
      <c r="CN33" s="21">
        <f t="shared" si="91"/>
        <v>0.93811333156775989</v>
      </c>
      <c r="CO33" s="18">
        <f>LAT_FEC!$B107*$D$19/SUM($D$16:Y$28)</f>
        <v>7.0541254017682684</v>
      </c>
      <c r="CP33" s="18">
        <f t="shared" si="49"/>
        <v>4.9050798165165697</v>
      </c>
      <c r="CQ33" s="18">
        <f t="shared" si="50"/>
        <v>5.5032028003488023</v>
      </c>
      <c r="CR33" s="21">
        <f t="shared" si="51"/>
        <v>0.89131365760420045</v>
      </c>
      <c r="CS33" s="18">
        <f t="shared" si="92"/>
        <v>0.91783255304364453</v>
      </c>
      <c r="CT33" s="18">
        <f>LAT_FEC!$B107*$D$20/SUM($D$14:$D$26)</f>
        <v>230.25270185069124</v>
      </c>
      <c r="CU33" s="18">
        <f t="shared" si="52"/>
        <v>86.174874210604628</v>
      </c>
      <c r="CV33" s="18">
        <f t="shared" si="53"/>
        <v>107.80477220893349</v>
      </c>
      <c r="CW33" s="21">
        <f t="shared" si="54"/>
        <v>0.79936047769380247</v>
      </c>
      <c r="CX33" s="21">
        <f t="shared" si="93"/>
        <v>0.83872280868374749</v>
      </c>
      <c r="CY33" s="18">
        <f>LAT_FEC!$B107*$D$21/SUM($D$14:$D$26)</f>
        <v>1204.8900904368681</v>
      </c>
      <c r="CZ33" s="18">
        <f t="shared" si="55"/>
        <v>607.1379760939451</v>
      </c>
      <c r="DA33" s="18">
        <f t="shared" si="56"/>
        <v>899.00290009527498</v>
      </c>
      <c r="DB33" s="21">
        <f t="shared" si="57"/>
        <v>0.67534595942860864</v>
      </c>
      <c r="DC33" s="21">
        <f t="shared" si="94"/>
        <v>0.9247483144971983</v>
      </c>
      <c r="DD33" s="18">
        <f>LAT_FEC!$B107*$D$22/SUM($D$14:$D$26)</f>
        <v>88.728691953995977</v>
      </c>
      <c r="DE33" s="18">
        <f t="shared" si="58"/>
        <v>52.829545319722442</v>
      </c>
      <c r="DF33" s="18">
        <f t="shared" si="59"/>
        <v>63.577097565376761</v>
      </c>
      <c r="DG33" s="21">
        <f t="shared" si="60"/>
        <v>0.83095245525163308</v>
      </c>
      <c r="DH33" s="21">
        <f t="shared" si="95"/>
        <v>0.55319509650002863</v>
      </c>
      <c r="DI33" s="18">
        <f>LAT_FEC!$B107*$D$23/SUM($D$14:$D$26)</f>
        <v>9601.4281309238759</v>
      </c>
      <c r="DJ33" s="18">
        <f t="shared" si="61"/>
        <v>2494.3157247412009</v>
      </c>
      <c r="DK33" s="18">
        <f t="shared" si="62"/>
        <v>7530.8412821012143</v>
      </c>
      <c r="DL33" s="21">
        <f t="shared" si="63"/>
        <v>0.33121342374716078</v>
      </c>
      <c r="DM33" s="21">
        <f t="shared" si="96"/>
        <v>0.62342191149393811</v>
      </c>
      <c r="DN33" s="18">
        <f>LAT_FEC!$B107*$D$24/SUM($D$14:$D$26)</f>
        <v>518.19305217535987</v>
      </c>
      <c r="DO33" s="18">
        <f t="shared" si="64"/>
        <v>148.560361049623</v>
      </c>
      <c r="DP33" s="18">
        <f t="shared" si="65"/>
        <v>400.16196620670985</v>
      </c>
      <c r="DQ33" s="21">
        <f t="shared" si="66"/>
        <v>0.37125057750461432</v>
      </c>
      <c r="DR33" s="21">
        <f t="shared" si="97"/>
        <v>0.9211547379859355</v>
      </c>
      <c r="DS33" s="18">
        <f>LAT_FEC!$B107*$D$25/SUM($D$14:$D$26)</f>
        <v>95.354264068774214</v>
      </c>
      <c r="DT33" s="18">
        <f t="shared" si="67"/>
        <v>50.821346190847628</v>
      </c>
      <c r="DU33" s="18">
        <f t="shared" si="68"/>
        <v>61.696344144736571</v>
      </c>
      <c r="DV33" s="21">
        <f t="shared" si="69"/>
        <v>0.82373351120486593</v>
      </c>
      <c r="DW33" s="21">
        <f t="shared" si="98"/>
        <v>0.79328414928499003</v>
      </c>
      <c r="DX33" s="18">
        <f>LAT_FEC!$B107*$D$26/SUM($D$14:$D$26)</f>
        <v>446.82275303263657</v>
      </c>
      <c r="DY33" s="18">
        <f t="shared" si="70"/>
        <v>233.52466586443893</v>
      </c>
      <c r="DZ33" s="18">
        <f t="shared" si="71"/>
        <v>360.40012427748798</v>
      </c>
      <c r="EA33" s="21">
        <f t="shared" si="72"/>
        <v>0.6479594487726591</v>
      </c>
      <c r="EB33" s="21">
        <f t="shared" si="73"/>
        <v>0.38872679153591094</v>
      </c>
      <c r="EC33" s="18">
        <f t="shared" si="74"/>
        <v>3024.0072138176238</v>
      </c>
      <c r="ED33" s="21">
        <f t="shared" si="75"/>
        <v>0.19837569285588819</v>
      </c>
    </row>
    <row r="34" spans="1:134" ht="15" thickBot="1" x14ac:dyDescent="0.4">
      <c r="B34" s="23" t="s">
        <v>159</v>
      </c>
      <c r="C34" s="34">
        <v>67.746653080000002</v>
      </c>
      <c r="D34" s="34">
        <v>8007.6116688000002</v>
      </c>
      <c r="E34" s="21">
        <f t="shared" si="102"/>
        <v>8.4602820269070733E-3</v>
      </c>
      <c r="F34" s="7"/>
      <c r="M34" s="47">
        <f t="shared" si="76"/>
        <v>2051</v>
      </c>
      <c r="N34" s="21">
        <f t="shared" si="77"/>
        <v>0.89024911510704918</v>
      </c>
      <c r="O34" s="18">
        <f>LAT_FEC!B214*D$5/SUM(D$5:D$8)</f>
        <v>367.09156485960187</v>
      </c>
      <c r="P34" s="18">
        <f t="shared" si="1"/>
        <v>228.99149064994813</v>
      </c>
      <c r="Q34" s="18">
        <f t="shared" si="2"/>
        <v>285.68498684328688</v>
      </c>
      <c r="R34" s="21">
        <f t="shared" si="3"/>
        <v>0.80155241330746552</v>
      </c>
      <c r="S34" s="21">
        <f t="shared" si="78"/>
        <v>0.78189383251089983</v>
      </c>
      <c r="T34" s="18">
        <f>LAT_FEC!B214*D$6/SUM(D$5:D$8)</f>
        <v>15974.573248258563</v>
      </c>
      <c r="U34" s="18">
        <f t="shared" si="4"/>
        <v>5032.4014100753357</v>
      </c>
      <c r="V34" s="18">
        <f t="shared" si="5"/>
        <v>8541.0949350447663</v>
      </c>
      <c r="W34" s="21">
        <f t="shared" si="6"/>
        <v>0.58919862714872862</v>
      </c>
      <c r="X34" s="21">
        <f t="shared" si="79"/>
        <v>0</v>
      </c>
      <c r="Y34" s="18">
        <f>LAT_FEC!$B214*$D$7/SUM($D$5:$D$8)</f>
        <v>12.516835639442883</v>
      </c>
      <c r="Z34" s="18">
        <f t="shared" si="7"/>
        <v>0</v>
      </c>
      <c r="AA34" s="18">
        <f t="shared" si="8"/>
        <v>12.516835639442883</v>
      </c>
      <c r="AB34" s="21">
        <f t="shared" si="9"/>
        <v>0</v>
      </c>
      <c r="AC34" s="21">
        <f t="shared" si="80"/>
        <v>0</v>
      </c>
      <c r="AD34" s="18">
        <f>LAT_FEC!$B214*$D$8/SUM($D$5:$D$8)</f>
        <v>13.323809565225655</v>
      </c>
      <c r="AE34" s="18">
        <f t="shared" si="10"/>
        <v>0</v>
      </c>
      <c r="AF34" s="18">
        <f t="shared" si="11"/>
        <v>13.323809565225655</v>
      </c>
      <c r="AG34" s="21">
        <f t="shared" si="12"/>
        <v>0</v>
      </c>
      <c r="AH34" s="21">
        <f t="shared" si="13"/>
        <v>0.59433168527329883</v>
      </c>
      <c r="AI34" s="18">
        <f t="shared" si="14"/>
        <v>7514.884891230111</v>
      </c>
      <c r="AJ34" s="21">
        <f t="shared" si="15"/>
        <v>0.45913440568970837</v>
      </c>
      <c r="AL34" s="21">
        <f t="shared" si="81"/>
        <v>0.76721108340298283</v>
      </c>
      <c r="AM34" s="18">
        <f>LAT_FEC!B161*$D$9/SUM($D$9:$D$13)</f>
        <v>7599.2677800329466</v>
      </c>
      <c r="AN34" s="18">
        <f t="shared" si="16"/>
        <v>2508.8048204399674</v>
      </c>
      <c r="AO34" s="18">
        <f t="shared" si="17"/>
        <v>4406.4862697486442</v>
      </c>
      <c r="AP34" s="21">
        <f t="shared" si="18"/>
        <v>0.56934361458547678</v>
      </c>
      <c r="AQ34" s="21">
        <f t="shared" si="82"/>
        <v>1</v>
      </c>
      <c r="AR34" s="18">
        <f>LAT_FEC!$B161*$D$10/SUM($D$9:$D$13)</f>
        <v>8.5962978742260443</v>
      </c>
      <c r="AS34" s="18">
        <f t="shared" si="19"/>
        <v>8.5962978742260443</v>
      </c>
      <c r="AT34" s="18">
        <f t="shared" si="20"/>
        <v>8.5962978742260443</v>
      </c>
      <c r="AU34" s="21">
        <f t="shared" si="21"/>
        <v>1</v>
      </c>
      <c r="AV34" s="18">
        <f t="shared" si="83"/>
        <v>0.77998155570963001</v>
      </c>
      <c r="AW34" s="18">
        <f>LAT_FEC!$B161*$D$11/SUM($D$9:$D$13)</f>
        <v>1922.6053585603452</v>
      </c>
      <c r="AX34" s="18">
        <f t="shared" si="22"/>
        <v>1006.2819232075177</v>
      </c>
      <c r="AY34" s="18">
        <f t="shared" si="23"/>
        <v>1715.9159576309617</v>
      </c>
      <c r="AZ34" s="21">
        <f t="shared" si="24"/>
        <v>0.58644009849807377</v>
      </c>
      <c r="BA34" s="18">
        <f t="shared" si="84"/>
        <v>0.98121783086166103</v>
      </c>
      <c r="BB34" s="18">
        <f>LAT_FEC!$B161*$D$12/SUM($D$9:$D$13)</f>
        <v>648.53766447963778</v>
      </c>
      <c r="BC34" s="18">
        <f t="shared" si="25"/>
        <v>636.35672037279789</v>
      </c>
      <c r="BD34" s="18">
        <f t="shared" si="26"/>
        <v>648.53766447963778</v>
      </c>
      <c r="BE34" s="21">
        <f t="shared" si="27"/>
        <v>0.98121783086166103</v>
      </c>
      <c r="BF34" s="18">
        <f t="shared" si="85"/>
        <v>1</v>
      </c>
      <c r="BG34" s="18">
        <f>LAT_FEC!$B161*$D$13/SUM($D$9:$D$13)</f>
        <v>1495.5328614342352</v>
      </c>
      <c r="BH34" s="18">
        <f t="shared" si="28"/>
        <v>1495.5328614342352</v>
      </c>
      <c r="BI34" s="18">
        <f t="shared" si="29"/>
        <v>1495.5328614342352</v>
      </c>
      <c r="BJ34" s="21">
        <f t="shared" si="30"/>
        <v>1</v>
      </c>
      <c r="BK34" s="21">
        <f t="shared" si="31"/>
        <v>0.68344718193386911</v>
      </c>
      <c r="BL34" s="18">
        <f t="shared" si="32"/>
        <v>3399.4709112136843</v>
      </c>
      <c r="BM34" s="21">
        <f t="shared" si="33"/>
        <v>0.29118671246727695</v>
      </c>
      <c r="BO34" s="21">
        <f t="shared" si="86"/>
        <v>0.84180388329558398</v>
      </c>
      <c r="BP34" s="18">
        <f>LAT_FEC!$B108*$D$14/SUM($D$14:D$26)</f>
        <v>24.728147747430807</v>
      </c>
      <c r="BQ34" s="18">
        <f t="shared" si="34"/>
        <v>19.319826466944097</v>
      </c>
      <c r="BR34" s="18">
        <f t="shared" si="35"/>
        <v>24.765848247887668</v>
      </c>
      <c r="BS34" s="21">
        <f t="shared" si="36"/>
        <v>0.78009952550653805</v>
      </c>
      <c r="BT34" s="21">
        <f t="shared" si="87"/>
        <v>0.7411495464614819</v>
      </c>
      <c r="BU34" s="18">
        <f>LAT_FEC!$B108*$D$15/SUM($D$14:D$26)</f>
        <v>347.72423221648745</v>
      </c>
      <c r="BV34" s="18">
        <f t="shared" si="37"/>
        <v>186.62763781185541</v>
      </c>
      <c r="BW34" s="18">
        <f t="shared" si="38"/>
        <v>299.79215621696949</v>
      </c>
      <c r="BX34" s="21">
        <f t="shared" si="39"/>
        <v>0.62252341811367085</v>
      </c>
      <c r="BY34" s="21">
        <f t="shared" si="88"/>
        <v>0.95370091015992786</v>
      </c>
      <c r="BZ34" s="18">
        <f>LAT_FEC!$B108*$D$16/SUM($D$14:$D$26)</f>
        <v>32.114439633690573</v>
      </c>
      <c r="CA34" s="18">
        <f t="shared" si="40"/>
        <v>24.462769423572276</v>
      </c>
      <c r="CB34" s="18">
        <f t="shared" si="41"/>
        <v>26.389130765592963</v>
      </c>
      <c r="CC34" s="21">
        <f t="shared" si="42"/>
        <v>0.92700171297296607</v>
      </c>
      <c r="CD34" s="21">
        <f t="shared" si="89"/>
        <v>0.42561134340991236</v>
      </c>
      <c r="CE34" s="18">
        <f>LAT_FEC!$B108*$D$17/SUM($D$14:$D$26)</f>
        <v>2544.9560766998579</v>
      </c>
      <c r="CF34" s="18">
        <f t="shared" si="43"/>
        <v>769.00961299308051</v>
      </c>
      <c r="CG34" s="18">
        <f t="shared" si="44"/>
        <v>2359.5105985098171</v>
      </c>
      <c r="CH34" s="21">
        <f t="shared" si="45"/>
        <v>0.32591911792164002</v>
      </c>
      <c r="CI34" s="21">
        <f t="shared" si="90"/>
        <v>0.87391767778978457</v>
      </c>
      <c r="CJ34" s="18">
        <f>LAT_FEC!$B108*$D$18/SUM($D$14:$D$26)</f>
        <v>140.3015475031535</v>
      </c>
      <c r="CK34" s="18">
        <f t="shared" si="46"/>
        <v>89.704062649326289</v>
      </c>
      <c r="CL34" s="18">
        <f t="shared" si="47"/>
        <v>113.67479691137382</v>
      </c>
      <c r="CM34" s="21">
        <f t="shared" si="48"/>
        <v>0.78912885781765474</v>
      </c>
      <c r="CN34" s="21">
        <f t="shared" si="91"/>
        <v>0.94092379098904178</v>
      </c>
      <c r="CO34" s="18">
        <f>LAT_FEC!$B108*$D$19/SUM($D$16:Y$28)</f>
        <v>7.1436194577841476</v>
      </c>
      <c r="CP34" s="18">
        <f t="shared" si="49"/>
        <v>4.9821908093264611</v>
      </c>
      <c r="CQ34" s="18">
        <f t="shared" si="50"/>
        <v>5.5603948753852963</v>
      </c>
      <c r="CR34" s="21">
        <f t="shared" si="51"/>
        <v>0.8960138481138411</v>
      </c>
      <c r="CS34" s="18">
        <f t="shared" si="92"/>
        <v>0.9236449309249587</v>
      </c>
      <c r="CT34" s="18">
        <f>LAT_FEC!$B108*$D$20/SUM($D$14:$D$26)</f>
        <v>233.17386457797528</v>
      </c>
      <c r="CU34" s="18">
        <f t="shared" si="52"/>
        <v>87.820799806099913</v>
      </c>
      <c r="CV34" s="18">
        <f t="shared" si="53"/>
        <v>108.17563958902679</v>
      </c>
      <c r="CW34" s="21">
        <f t="shared" si="54"/>
        <v>0.81183527215316187</v>
      </c>
      <c r="CX34" s="21">
        <f t="shared" si="93"/>
        <v>0.84098742281992434</v>
      </c>
      <c r="CY34" s="18">
        <f>LAT_FEC!$B108*$D$21/SUM($D$14:$D$26)</f>
        <v>1220.1762520947691</v>
      </c>
      <c r="CZ34" s="18">
        <f t="shared" si="55"/>
        <v>616.50071051257123</v>
      </c>
      <c r="DA34" s="18">
        <f t="shared" si="56"/>
        <v>907.91816858596803</v>
      </c>
      <c r="DB34" s="21">
        <f t="shared" si="57"/>
        <v>0.67902673593671636</v>
      </c>
      <c r="DC34" s="21">
        <f t="shared" si="94"/>
        <v>0.92710778235070002</v>
      </c>
      <c r="DD34" s="18">
        <f>LAT_FEC!$B108*$D$22/SUM($D$14:$D$26)</f>
        <v>89.854372329050861</v>
      </c>
      <c r="DE34" s="18">
        <f t="shared" si="58"/>
        <v>53.636284634998354</v>
      </c>
      <c r="DF34" s="18">
        <f t="shared" si="59"/>
        <v>64.178930829815812</v>
      </c>
      <c r="DG34" s="21">
        <f t="shared" si="60"/>
        <v>0.83573041715553753</v>
      </c>
      <c r="DH34" s="21">
        <f t="shared" si="95"/>
        <v>0.55565615658642686</v>
      </c>
      <c r="DI34" s="18">
        <f>LAT_FEC!$B108*$D$23/SUM($D$14:$D$26)</f>
        <v>9723.2392269905758</v>
      </c>
      <c r="DJ34" s="18">
        <f t="shared" si="61"/>
        <v>2537.1980503575246</v>
      </c>
      <c r="DK34" s="18">
        <f t="shared" si="62"/>
        <v>7609.5270429992761</v>
      </c>
      <c r="DL34" s="21">
        <f t="shared" si="63"/>
        <v>0.33342388245951937</v>
      </c>
      <c r="DM34" s="21">
        <f t="shared" si="96"/>
        <v>0.6256293830455677</v>
      </c>
      <c r="DN34" s="18">
        <f>LAT_FEC!$B108*$D$24/SUM($D$14:$D$26)</f>
        <v>524.76724747202934</v>
      </c>
      <c r="DO34" s="18">
        <f t="shared" si="64"/>
        <v>150.97782231019028</v>
      </c>
      <c r="DP34" s="18">
        <f t="shared" si="65"/>
        <v>404.2778583679127</v>
      </c>
      <c r="DQ34" s="21">
        <f t="shared" si="66"/>
        <v>0.37345063348186891</v>
      </c>
      <c r="DR34" s="21">
        <f t="shared" si="97"/>
        <v>0.9244241945114231</v>
      </c>
      <c r="DS34" s="18">
        <f>LAT_FEC!$B108*$D$25/SUM($D$14:$D$26)</f>
        <v>96.564001543498534</v>
      </c>
      <c r="DT34" s="18">
        <f t="shared" si="67"/>
        <v>51.648773603809929</v>
      </c>
      <c r="DU34" s="18">
        <f t="shared" si="68"/>
        <v>62.205068243166778</v>
      </c>
      <c r="DV34" s="21">
        <f t="shared" si="69"/>
        <v>0.83029847989088157</v>
      </c>
      <c r="DW34" s="21">
        <f t="shared" si="98"/>
        <v>0.79545934724314837</v>
      </c>
      <c r="DX34" s="18">
        <f>LAT_FEC!$B108*$D$26/SUM($D$14:$D$26)</f>
        <v>452.49148986556105</v>
      </c>
      <c r="DY34" s="18">
        <f t="shared" si="70"/>
        <v>237.13579134797774</v>
      </c>
      <c r="DZ34" s="18">
        <f t="shared" si="71"/>
        <v>364.26888598097514</v>
      </c>
      <c r="EA34" s="21">
        <f t="shared" si="72"/>
        <v>0.6509910686150745</v>
      </c>
      <c r="EB34" s="21">
        <f t="shared" si="73"/>
        <v>0.39100637439679775</v>
      </c>
      <c r="EC34" s="18">
        <f t="shared" si="74"/>
        <v>3086.9899980086957</v>
      </c>
      <c r="ED34" s="21">
        <f t="shared" si="75"/>
        <v>0.19997040236597169</v>
      </c>
    </row>
    <row r="35" spans="1:134" x14ac:dyDescent="0.35">
      <c r="B35" s="23" t="s">
        <v>160</v>
      </c>
      <c r="C35" s="34">
        <v>0</v>
      </c>
      <c r="D35" s="34">
        <v>0</v>
      </c>
      <c r="E35" s="21">
        <f t="shared" si="102"/>
        <v>0</v>
      </c>
      <c r="F35" s="7"/>
    </row>
    <row r="36" spans="1:134" x14ac:dyDescent="0.35">
      <c r="B36" s="23" t="s">
        <v>161</v>
      </c>
      <c r="C36" s="34">
        <v>1100.02713348</v>
      </c>
      <c r="D36" s="34">
        <v>2335.2372928599998</v>
      </c>
      <c r="E36" s="21">
        <f t="shared" si="102"/>
        <v>0.4710558266790868</v>
      </c>
      <c r="F36" s="7"/>
    </row>
    <row r="37" spans="1:134" ht="15" thickBot="1" x14ac:dyDescent="0.4">
      <c r="B37" s="23" t="s">
        <v>162</v>
      </c>
      <c r="C37" s="34">
        <v>146.37422654</v>
      </c>
      <c r="D37" s="34">
        <v>966.424398</v>
      </c>
      <c r="E37" s="21">
        <f t="shared" si="102"/>
        <v>0.15145957287804318</v>
      </c>
    </row>
    <row r="38" spans="1:134" x14ac:dyDescent="0.35">
      <c r="B38" s="23" t="s">
        <v>179</v>
      </c>
      <c r="C38" s="34">
        <v>1108.44692306</v>
      </c>
      <c r="D38" s="34">
        <v>1108.44692306</v>
      </c>
      <c r="E38" s="21">
        <f t="shared" si="102"/>
        <v>1</v>
      </c>
      <c r="F38" s="7"/>
    </row>
    <row r="39" spans="1:134" x14ac:dyDescent="0.35">
      <c r="B39" s="31" t="s">
        <v>31</v>
      </c>
      <c r="C39" s="34">
        <v>13.271000000000001</v>
      </c>
      <c r="D39" s="34">
        <v>16.920000000000002</v>
      </c>
      <c r="E39" s="21">
        <f t="shared" si="102"/>
        <v>0.78433806146572105</v>
      </c>
      <c r="F39" s="7"/>
    </row>
    <row r="40" spans="1:134" x14ac:dyDescent="0.35">
      <c r="B40" s="31" t="s">
        <v>33</v>
      </c>
      <c r="C40" s="34">
        <v>83.147000000000006</v>
      </c>
      <c r="D40" s="34">
        <v>237.92699999999999</v>
      </c>
      <c r="E40" s="21">
        <f t="shared" si="102"/>
        <v>0.34946433149663558</v>
      </c>
      <c r="F40" s="7"/>
    </row>
    <row r="41" spans="1:134" x14ac:dyDescent="0.35">
      <c r="B41" s="31" t="s">
        <v>34</v>
      </c>
      <c r="C41" s="34">
        <v>10.441000000000001</v>
      </c>
      <c r="D41" s="34">
        <v>21.974</v>
      </c>
      <c r="E41" s="21">
        <f t="shared" si="102"/>
        <v>0.47515245289888053</v>
      </c>
      <c r="F41" s="7"/>
    </row>
    <row r="42" spans="1:134" ht="15" thickBot="1" x14ac:dyDescent="0.4">
      <c r="B42" s="31" t="s">
        <v>164</v>
      </c>
      <c r="C42" s="34">
        <v>287.91199999999998</v>
      </c>
      <c r="D42" s="34">
        <v>1741.3620000000001</v>
      </c>
      <c r="E42" s="21">
        <f t="shared" si="102"/>
        <v>0.16533724751085643</v>
      </c>
    </row>
    <row r="43" spans="1:134" ht="15" thickBot="1" x14ac:dyDescent="0.4">
      <c r="B43" s="31" t="s">
        <v>36</v>
      </c>
      <c r="C43" s="18">
        <f>40</f>
        <v>40</v>
      </c>
      <c r="D43" s="18">
        <f>96</f>
        <v>96</v>
      </c>
      <c r="E43" s="21">
        <f t="shared" si="102"/>
        <v>0.41666666666666669</v>
      </c>
    </row>
    <row r="44" spans="1:134" x14ac:dyDescent="0.35">
      <c r="A44" s="7"/>
      <c r="B44" s="31" t="s">
        <v>37</v>
      </c>
      <c r="C44" s="34">
        <v>81.834000000000003</v>
      </c>
      <c r="D44" s="34">
        <v>187.602</v>
      </c>
      <c r="E44" s="21">
        <f t="shared" si="102"/>
        <v>0.43621070137845014</v>
      </c>
    </row>
    <row r="45" spans="1:134" ht="15" thickBot="1" x14ac:dyDescent="0.4">
      <c r="B45" s="31" t="s">
        <v>38</v>
      </c>
      <c r="C45" s="34">
        <v>12.673</v>
      </c>
      <c r="D45" s="34">
        <v>159.547</v>
      </c>
      <c r="E45" s="21">
        <f t="shared" si="102"/>
        <v>7.9431139413464372E-2</v>
      </c>
    </row>
    <row r="46" spans="1:134" x14ac:dyDescent="0.35">
      <c r="B46" s="31" t="s">
        <v>40</v>
      </c>
      <c r="C46" s="34">
        <v>279.39499999999998</v>
      </c>
      <c r="D46" s="34">
        <v>834.89400000000001</v>
      </c>
      <c r="E46" s="21">
        <f t="shared" si="102"/>
        <v>0.33464727258789734</v>
      </c>
    </row>
    <row r="47" spans="1:134" x14ac:dyDescent="0.35">
      <c r="B47" s="31" t="s">
        <v>41</v>
      </c>
      <c r="C47" s="34">
        <v>24.988</v>
      </c>
      <c r="D47" s="34">
        <v>61.481999999999999</v>
      </c>
      <c r="E47" s="21">
        <f t="shared" si="102"/>
        <v>0.40642789759604436</v>
      </c>
    </row>
    <row r="48" spans="1:134" x14ac:dyDescent="0.35">
      <c r="B48" s="31" t="s">
        <v>42</v>
      </c>
      <c r="C48" s="34">
        <v>771.86199999999997</v>
      </c>
      <c r="D48" s="34">
        <v>6653.0339999999997</v>
      </c>
      <c r="E48" s="21">
        <f t="shared" si="102"/>
        <v>0.1160165422272004</v>
      </c>
    </row>
    <row r="49" spans="1:7" x14ac:dyDescent="0.35">
      <c r="B49" s="31" t="s">
        <v>43</v>
      </c>
      <c r="C49" s="34">
        <v>57.597999999999999</v>
      </c>
      <c r="D49" s="34">
        <v>359.06700000000001</v>
      </c>
      <c r="E49" s="21">
        <f t="shared" si="102"/>
        <v>0.16041017414577224</v>
      </c>
    </row>
    <row r="50" spans="1:7" ht="15" thickBot="1" x14ac:dyDescent="0.4">
      <c r="B50" s="31" t="s">
        <v>44</v>
      </c>
      <c r="C50" s="34">
        <v>19.667000000000002</v>
      </c>
      <c r="D50" s="34">
        <v>66.072999999999993</v>
      </c>
      <c r="E50" s="21">
        <f t="shared" si="102"/>
        <v>0.29765562332571555</v>
      </c>
    </row>
    <row r="51" spans="1:7" x14ac:dyDescent="0.35">
      <c r="B51" s="31" t="s">
        <v>45</v>
      </c>
      <c r="C51" s="34">
        <v>106.62</v>
      </c>
      <c r="D51" s="34">
        <v>309.613</v>
      </c>
      <c r="E51" s="21">
        <f t="shared" si="102"/>
        <v>0.34436538517439513</v>
      </c>
    </row>
    <row r="53" spans="1:7" ht="45" customHeight="1" x14ac:dyDescent="0.35">
      <c r="A53" s="60" t="s">
        <v>685</v>
      </c>
      <c r="B53" s="7"/>
      <c r="C53" s="28" t="s">
        <v>144</v>
      </c>
      <c r="D53" s="28" t="s">
        <v>145</v>
      </c>
      <c r="E53" s="11" t="s">
        <v>146</v>
      </c>
    </row>
    <row r="54" spans="1:7" x14ac:dyDescent="0.35">
      <c r="A54" s="23" t="s">
        <v>682</v>
      </c>
      <c r="B54" s="7"/>
      <c r="C54" s="34">
        <v>1740.3510000000001</v>
      </c>
      <c r="D54" s="34">
        <v>12785.335999999999</v>
      </c>
      <c r="E54" s="21">
        <f>C54/D54</f>
        <v>0.1361208653413567</v>
      </c>
    </row>
    <row r="55" spans="1:7" ht="15" thickBot="1" x14ac:dyDescent="0.4">
      <c r="A55" s="23" t="s">
        <v>683</v>
      </c>
      <c r="B55" s="7"/>
      <c r="C55" s="34">
        <v>2671.7539999999999</v>
      </c>
      <c r="D55" s="34">
        <v>6227.3559999999998</v>
      </c>
      <c r="E55" s="21">
        <f>C55/D55</f>
        <v>0.42903505115172474</v>
      </c>
    </row>
    <row r="56" spans="1:7" ht="15" thickBot="1" x14ac:dyDescent="0.4">
      <c r="A56" s="15" t="s">
        <v>684</v>
      </c>
      <c r="B56" s="7"/>
      <c r="C56" s="27">
        <f>SUM(C54,C55)</f>
        <v>4412.1049999999996</v>
      </c>
      <c r="D56" s="27">
        <f>SUM(D54,D55)</f>
        <v>19012.691999999999</v>
      </c>
      <c r="E56" s="61">
        <f>C56/D56</f>
        <v>0.2320610358596247</v>
      </c>
    </row>
    <row r="57" spans="1:7" ht="15" thickBot="1" x14ac:dyDescent="0.4">
      <c r="D57" s="18">
        <f>SUM(D61:D65)</f>
        <v>12417.72028272</v>
      </c>
    </row>
    <row r="59" spans="1:7" x14ac:dyDescent="0.35">
      <c r="D59" s="38"/>
      <c r="F59" s="23" t="s">
        <v>218</v>
      </c>
      <c r="G59" s="23" t="s">
        <v>219</v>
      </c>
    </row>
    <row r="60" spans="1:7" ht="32" customHeight="1" thickBot="1" x14ac:dyDescent="0.4">
      <c r="A60" s="9" t="s">
        <v>681</v>
      </c>
      <c r="B60" s="7"/>
      <c r="E60" s="11"/>
      <c r="F60" s="11" t="s">
        <v>216</v>
      </c>
      <c r="G60" s="11" t="s">
        <v>217</v>
      </c>
    </row>
    <row r="61" spans="1:7" x14ac:dyDescent="0.35">
      <c r="A61" s="77" t="s">
        <v>218</v>
      </c>
      <c r="B61" s="23" t="s">
        <v>159</v>
      </c>
      <c r="C61" s="62">
        <v>67.746653080000002</v>
      </c>
      <c r="D61" s="62">
        <v>8007.6116688000002</v>
      </c>
      <c r="E61" s="49">
        <f>IF(D61=0,0,C61/D61)</f>
        <v>8.4602820269070733E-3</v>
      </c>
      <c r="F61" s="63">
        <f>D61/SUM(D$61:D$65)</f>
        <v>0.64485360327717078</v>
      </c>
      <c r="G61" s="64">
        <v>0.66303630726663454</v>
      </c>
    </row>
    <row r="62" spans="1:7" x14ac:dyDescent="0.35">
      <c r="A62" s="77"/>
      <c r="B62" s="23" t="s">
        <v>160</v>
      </c>
      <c r="C62" s="62">
        <v>0</v>
      </c>
      <c r="D62" s="62">
        <v>0</v>
      </c>
      <c r="E62" s="49">
        <f>IF(D62=0,0,C62/D62)</f>
        <v>0</v>
      </c>
      <c r="F62" s="63">
        <f>D62/SUM(D$61:D$65)</f>
        <v>0</v>
      </c>
      <c r="G62" s="64">
        <v>2.2046119169146262E-3</v>
      </c>
    </row>
    <row r="63" spans="1:7" x14ac:dyDescent="0.35">
      <c r="A63" s="77"/>
      <c r="B63" s="23" t="s">
        <v>161</v>
      </c>
      <c r="C63" s="62">
        <v>1100.02713348</v>
      </c>
      <c r="D63" s="62">
        <v>2335.2372928599998</v>
      </c>
      <c r="E63" s="49">
        <f>IF(D63=0,0,C63/D63)</f>
        <v>0.4710558266790868</v>
      </c>
      <c r="F63" s="63">
        <f>D63/SUM(D$61:D$65)</f>
        <v>0.1880568445489646</v>
      </c>
      <c r="G63" s="64">
        <v>0.11807597544288807</v>
      </c>
    </row>
    <row r="64" spans="1:7" x14ac:dyDescent="0.35">
      <c r="A64" s="77"/>
      <c r="B64" s="23" t="s">
        <v>162</v>
      </c>
      <c r="C64" s="62">
        <v>146.37422654</v>
      </c>
      <c r="D64" s="62">
        <v>966.424398</v>
      </c>
      <c r="E64" s="49">
        <f>IF(D64=0,0,C64/D64)</f>
        <v>0.15145957287804318</v>
      </c>
      <c r="F64" s="63">
        <f>D64/SUM(D$61:D$65)</f>
        <v>7.7826233479009618E-2</v>
      </c>
      <c r="G64" s="64">
        <v>1.1134210268766881E-2</v>
      </c>
    </row>
    <row r="65" spans="1:7" x14ac:dyDescent="0.35">
      <c r="A65" s="77"/>
      <c r="B65" s="23" t="s">
        <v>179</v>
      </c>
      <c r="C65" s="62">
        <v>1108.44692306</v>
      </c>
      <c r="D65" s="62">
        <v>1108.44692306</v>
      </c>
      <c r="E65" s="49">
        <f>IF(D65=0,0,C65/D65)</f>
        <v>1</v>
      </c>
      <c r="F65" s="63">
        <f>D65/SUM(D$61:D$65)</f>
        <v>8.9263318694854973E-2</v>
      </c>
      <c r="G65" s="64">
        <v>0.20554889510479585</v>
      </c>
    </row>
    <row r="66" spans="1:7" x14ac:dyDescent="0.35">
      <c r="A66" s="77" t="s">
        <v>219</v>
      </c>
      <c r="B66" s="23" t="s">
        <v>159</v>
      </c>
      <c r="C66" s="65">
        <f>D66*E66</f>
        <v>577.94598677186173</v>
      </c>
      <c r="D66" s="65">
        <f>D$55*G61</f>
        <v>4128.9631262747198</v>
      </c>
      <c r="E66" s="55">
        <v>0.13997363722966999</v>
      </c>
      <c r="F66" s="63">
        <f>SUM(F61:F65)</f>
        <v>0.99999999999999989</v>
      </c>
      <c r="G66" s="63">
        <f>SUM(G61:G65)</f>
        <v>1</v>
      </c>
    </row>
    <row r="67" spans="1:7" x14ac:dyDescent="0.35">
      <c r="A67" s="77"/>
      <c r="B67" s="23" t="s">
        <v>160</v>
      </c>
      <c r="C67" s="65">
        <f>D67*E67</f>
        <v>13.728903248469798</v>
      </c>
      <c r="D67" s="65">
        <f>D$55*G62</f>
        <v>13.728903248469798</v>
      </c>
      <c r="E67" s="55">
        <v>1</v>
      </c>
      <c r="F67" s="7"/>
      <c r="G67" s="7"/>
    </row>
    <row r="68" spans="1:7" x14ac:dyDescent="0.35">
      <c r="A68" s="77"/>
      <c r="B68" s="23" t="s">
        <v>161</v>
      </c>
      <c r="C68" s="65">
        <f>D68*E68</f>
        <v>287.01197106140404</v>
      </c>
      <c r="D68" s="65">
        <f>D$55*G63</f>
        <v>735.30113413012168</v>
      </c>
      <c r="E68" s="55">
        <v>0.3903325559275056</v>
      </c>
      <c r="F68" s="7"/>
      <c r="G68" s="7"/>
    </row>
    <row r="69" spans="1:7" x14ac:dyDescent="0.35">
      <c r="A69" s="77"/>
      <c r="B69" s="23" t="s">
        <v>162</v>
      </c>
      <c r="C69" s="65">
        <f>D69*E69</f>
        <v>42.734698344983066</v>
      </c>
      <c r="D69" s="65">
        <f>D$55*G64</f>
        <v>69.336691122467045</v>
      </c>
      <c r="E69" s="55">
        <v>0.61633599257717997</v>
      </c>
      <c r="F69" s="7"/>
      <c r="G69" s="7"/>
    </row>
    <row r="70" spans="1:7" x14ac:dyDescent="0.35">
      <c r="A70" s="77"/>
      <c r="B70" s="23" t="s">
        <v>179</v>
      </c>
      <c r="C70" s="65">
        <f>D70*E70</f>
        <v>1280.026145224221</v>
      </c>
      <c r="D70" s="65">
        <f>D$55*G65</f>
        <v>1280.026145224221</v>
      </c>
      <c r="E70" s="55">
        <v>1</v>
      </c>
      <c r="F70" s="7"/>
      <c r="G70" s="7"/>
    </row>
    <row r="71" spans="1:7" x14ac:dyDescent="0.35">
      <c r="A71" s="7"/>
      <c r="B71" s="7"/>
      <c r="C71" s="86">
        <f>SUM(C66:C70)</f>
        <v>2201.4477046509396</v>
      </c>
      <c r="D71" s="86">
        <f>SUM(D66:D70)</f>
        <v>6227.3559999999989</v>
      </c>
      <c r="E71" s="86"/>
    </row>
    <row r="73" spans="1:7" x14ac:dyDescent="0.35">
      <c r="C73" s="85" t="s">
        <v>686</v>
      </c>
      <c r="D73" s="85"/>
      <c r="E73" s="85"/>
    </row>
    <row r="74" spans="1:7" ht="15" thickBot="1" x14ac:dyDescent="0.4">
      <c r="B74" s="23" t="s">
        <v>159</v>
      </c>
      <c r="C74" s="18">
        <f t="shared" ref="C74:D78" si="103">C61+C66</f>
        <v>645.69263985186171</v>
      </c>
      <c r="D74" s="18">
        <f t="shared" si="103"/>
        <v>12136.574795074721</v>
      </c>
      <c r="E74" s="21">
        <f>IF(D74=0,0,C74/D74)</f>
        <v>5.3202213207131345E-2</v>
      </c>
    </row>
    <row r="75" spans="1:7" ht="15" thickBot="1" x14ac:dyDescent="0.4">
      <c r="B75" s="23" t="s">
        <v>160</v>
      </c>
      <c r="C75" s="18">
        <f t="shared" si="103"/>
        <v>13.728903248469798</v>
      </c>
      <c r="D75" s="18">
        <f t="shared" si="103"/>
        <v>13.728903248469798</v>
      </c>
      <c r="E75" s="21">
        <f>IF(D75=0,0,C75/D75)</f>
        <v>1</v>
      </c>
    </row>
    <row r="76" spans="1:7" x14ac:dyDescent="0.35">
      <c r="B76" s="23" t="s">
        <v>161</v>
      </c>
      <c r="C76" s="18">
        <f t="shared" si="103"/>
        <v>1387.039104541404</v>
      </c>
      <c r="D76" s="18">
        <f t="shared" si="103"/>
        <v>3070.5384269901215</v>
      </c>
      <c r="E76" s="21">
        <f>IF(D76=0,0,C76/D76)</f>
        <v>0.45172504351331028</v>
      </c>
      <c r="F76" s="7"/>
    </row>
    <row r="77" spans="1:7" x14ac:dyDescent="0.35">
      <c r="B77" s="23" t="s">
        <v>162</v>
      </c>
      <c r="C77" s="18">
        <f t="shared" si="103"/>
        <v>189.10892488498305</v>
      </c>
      <c r="D77" s="18">
        <f t="shared" si="103"/>
        <v>1035.761089122467</v>
      </c>
      <c r="E77" s="21">
        <f>IF(D77=0,0,C77/D77)</f>
        <v>0.18257967679129822</v>
      </c>
      <c r="F77" s="7"/>
    </row>
    <row r="78" spans="1:7" x14ac:dyDescent="0.35">
      <c r="B78" s="23" t="s">
        <v>179</v>
      </c>
      <c r="C78" s="18">
        <f t="shared" si="103"/>
        <v>2388.473068284221</v>
      </c>
      <c r="D78" s="18">
        <f t="shared" si="103"/>
        <v>2388.473068284221</v>
      </c>
      <c r="E78" s="21">
        <f>IF(D78=0,0,C78/D78)</f>
        <v>1</v>
      </c>
      <c r="F78" s="7"/>
    </row>
    <row r="79" spans="1:7" ht="15" thickBot="1" x14ac:dyDescent="0.4">
      <c r="B79" s="37" t="s">
        <v>215</v>
      </c>
      <c r="C79" s="27">
        <f>SUM(C74:C78)</f>
        <v>4624.0426408109397</v>
      </c>
      <c r="D79" s="27">
        <f>SUM(D74:D78)</f>
        <v>18645.076282720001</v>
      </c>
      <c r="F79" s="7"/>
    </row>
    <row r="80" spans="1:7" x14ac:dyDescent="0.35">
      <c r="B80" s="7"/>
      <c r="E80" s="7"/>
      <c r="F80" s="7"/>
    </row>
    <row r="81" spans="2:6" x14ac:dyDescent="0.35">
      <c r="F81" s="7"/>
    </row>
    <row r="82" spans="2:6" x14ac:dyDescent="0.35">
      <c r="F82" s="7"/>
    </row>
    <row r="83" spans="2:6" ht="18" customHeight="1" x14ac:dyDescent="0.35">
      <c r="B83" s="33" t="s">
        <v>201</v>
      </c>
      <c r="F83" s="7"/>
    </row>
    <row r="84" spans="2:6" ht="18" customHeight="1" thickBot="1" x14ac:dyDescent="0.4">
      <c r="B84" s="10" t="s">
        <v>202</v>
      </c>
      <c r="F84" s="7"/>
    </row>
    <row r="85" spans="2:6" ht="32" customHeight="1" x14ac:dyDescent="0.35">
      <c r="B85" s="11" t="s">
        <v>203</v>
      </c>
      <c r="C85" s="11" t="s">
        <v>204</v>
      </c>
      <c r="D85" s="11" t="s">
        <v>205</v>
      </c>
      <c r="E85" s="11" t="s">
        <v>206</v>
      </c>
      <c r="F85" s="7"/>
    </row>
    <row r="86" spans="2:6" x14ac:dyDescent="0.35">
      <c r="B86" s="17">
        <v>2000</v>
      </c>
      <c r="C86" s="13">
        <v>6686</v>
      </c>
      <c r="D86" s="21">
        <v>0.21430945653980388</v>
      </c>
      <c r="E86" s="13">
        <f t="shared" ref="E86:E109" si="104">C86*D86</f>
        <v>1432.8730264251287</v>
      </c>
      <c r="F86" s="7"/>
    </row>
    <row r="87" spans="2:6" x14ac:dyDescent="0.35">
      <c r="B87" s="17">
        <v>2001</v>
      </c>
      <c r="C87" s="13">
        <v>7109</v>
      </c>
      <c r="D87" s="21">
        <v>0.21732504981830969</v>
      </c>
      <c r="E87" s="13">
        <f t="shared" si="104"/>
        <v>1544.9637791583636</v>
      </c>
      <c r="F87" s="7"/>
    </row>
    <row r="88" spans="2:6" x14ac:dyDescent="0.35">
      <c r="B88" s="17">
        <v>2002</v>
      </c>
      <c r="C88" s="13">
        <v>7212</v>
      </c>
      <c r="D88" s="21">
        <v>0.21157846082736306</v>
      </c>
      <c r="E88" s="13">
        <f t="shared" si="104"/>
        <v>1525.9038594869423</v>
      </c>
      <c r="F88" s="7"/>
    </row>
    <row r="89" spans="2:6" x14ac:dyDescent="0.35">
      <c r="B89" s="17">
        <v>2003</v>
      </c>
      <c r="C89" s="13">
        <v>7296</v>
      </c>
      <c r="D89" s="21">
        <v>0.21998020254321177</v>
      </c>
      <c r="E89" s="13">
        <f t="shared" si="104"/>
        <v>1604.975557755273</v>
      </c>
      <c r="F89" s="7"/>
    </row>
    <row r="90" spans="2:6" x14ac:dyDescent="0.35">
      <c r="B90" s="17">
        <v>2004</v>
      </c>
      <c r="C90" s="13">
        <v>7781</v>
      </c>
      <c r="D90" s="21">
        <v>0.20998893291921031</v>
      </c>
      <c r="E90" s="13">
        <f t="shared" si="104"/>
        <v>1633.9238870443753</v>
      </c>
      <c r="F90" s="7"/>
    </row>
    <row r="91" spans="2:6" x14ac:dyDescent="0.35">
      <c r="B91" s="17">
        <v>2005</v>
      </c>
      <c r="C91" s="13">
        <v>8199</v>
      </c>
      <c r="D91" s="21">
        <v>0.20734516872204906</v>
      </c>
      <c r="E91" s="13">
        <f t="shared" si="104"/>
        <v>1700.0230383520802</v>
      </c>
      <c r="F91" s="7"/>
    </row>
    <row r="92" spans="2:6" x14ac:dyDescent="0.35">
      <c r="B92" s="17">
        <v>2006</v>
      </c>
      <c r="C92" s="13">
        <v>8627</v>
      </c>
      <c r="D92" s="21">
        <v>0.20388974755280787</v>
      </c>
      <c r="E92" s="13">
        <f t="shared" si="104"/>
        <v>1758.9568521380734</v>
      </c>
      <c r="F92" s="7"/>
    </row>
    <row r="93" spans="2:6" x14ac:dyDescent="0.35">
      <c r="B93" s="17">
        <v>2007</v>
      </c>
      <c r="C93" s="13">
        <v>8416</v>
      </c>
      <c r="D93" s="21">
        <v>0.21574969470939637</v>
      </c>
      <c r="E93" s="13">
        <f t="shared" si="104"/>
        <v>1815.7494306742799</v>
      </c>
      <c r="F93" s="7"/>
    </row>
    <row r="94" spans="2:6" x14ac:dyDescent="0.35">
      <c r="B94" s="17">
        <v>2008</v>
      </c>
      <c r="C94" s="13">
        <v>8983</v>
      </c>
      <c r="D94" s="21">
        <v>0.19</v>
      </c>
      <c r="E94" s="13">
        <f t="shared" si="104"/>
        <v>1706.77</v>
      </c>
      <c r="F94" s="7"/>
    </row>
    <row r="95" spans="2:6" x14ac:dyDescent="0.35">
      <c r="B95" s="17">
        <v>2009</v>
      </c>
      <c r="C95" s="13">
        <v>8302</v>
      </c>
      <c r="D95" s="21">
        <v>0.18</v>
      </c>
      <c r="E95" s="13">
        <f t="shared" si="104"/>
        <v>1494.36</v>
      </c>
      <c r="F95" s="7"/>
    </row>
    <row r="96" spans="2:6" x14ac:dyDescent="0.35">
      <c r="B96" s="17">
        <v>2010</v>
      </c>
      <c r="C96" s="13">
        <v>9694</v>
      </c>
      <c r="D96" s="21">
        <v>0.16</v>
      </c>
      <c r="E96" s="13">
        <f t="shared" si="104"/>
        <v>1551.04</v>
      </c>
      <c r="F96" s="7"/>
    </row>
    <row r="97" spans="2:6" ht="15" thickBot="1" x14ac:dyDescent="0.4">
      <c r="B97" s="17">
        <v>2011</v>
      </c>
      <c r="C97" s="13">
        <v>9607</v>
      </c>
      <c r="D97" s="21">
        <v>0.17</v>
      </c>
      <c r="E97" s="13">
        <f t="shared" si="104"/>
        <v>1633.19</v>
      </c>
      <c r="F97" s="7"/>
    </row>
    <row r="98" spans="2:6" x14ac:dyDescent="0.35">
      <c r="B98" s="17">
        <v>2012</v>
      </c>
      <c r="C98" s="13">
        <v>10540</v>
      </c>
      <c r="D98" s="21">
        <v>0.19</v>
      </c>
      <c r="E98" s="13">
        <f t="shared" si="104"/>
        <v>2002.6000000000001</v>
      </c>
    </row>
    <row r="99" spans="2:6" x14ac:dyDescent="0.35">
      <c r="B99" s="17">
        <v>2013</v>
      </c>
      <c r="C99" s="13">
        <v>9934</v>
      </c>
      <c r="D99" s="21">
        <v>0.18</v>
      </c>
      <c r="E99" s="13">
        <f t="shared" si="104"/>
        <v>1788.12</v>
      </c>
    </row>
    <row r="100" spans="2:6" x14ac:dyDescent="0.35">
      <c r="B100" s="17">
        <v>2014</v>
      </c>
      <c r="C100" s="13">
        <v>10120</v>
      </c>
      <c r="D100" s="21">
        <v>0.16</v>
      </c>
      <c r="E100" s="13">
        <f t="shared" si="104"/>
        <v>1619.2</v>
      </c>
    </row>
    <row r="101" spans="2:6" x14ac:dyDescent="0.35">
      <c r="B101" s="17">
        <v>2015</v>
      </c>
      <c r="C101" s="13">
        <v>10213</v>
      </c>
      <c r="D101" s="21">
        <v>0.17</v>
      </c>
      <c r="E101" s="13">
        <f t="shared" si="104"/>
        <v>1736.21</v>
      </c>
    </row>
    <row r="102" spans="2:6" x14ac:dyDescent="0.35">
      <c r="B102" s="17">
        <v>2016</v>
      </c>
      <c r="C102" s="13">
        <v>9458</v>
      </c>
      <c r="D102" s="21">
        <v>0.18</v>
      </c>
      <c r="E102" s="13">
        <f t="shared" si="104"/>
        <v>1702.4399999999998</v>
      </c>
    </row>
    <row r="103" spans="2:6" x14ac:dyDescent="0.35">
      <c r="B103" s="17">
        <v>2017</v>
      </c>
      <c r="C103" s="13">
        <v>9971</v>
      </c>
      <c r="D103" s="21">
        <v>0.18</v>
      </c>
      <c r="E103" s="13">
        <f t="shared" si="104"/>
        <v>1794.78</v>
      </c>
    </row>
    <row r="104" spans="2:6" x14ac:dyDescent="0.35">
      <c r="B104" s="17">
        <v>2018</v>
      </c>
      <c r="C104" s="13">
        <v>11301</v>
      </c>
      <c r="D104" s="21">
        <v>0.16</v>
      </c>
      <c r="E104" s="13">
        <f t="shared" si="104"/>
        <v>1808.16</v>
      </c>
    </row>
    <row r="105" spans="2:6" x14ac:dyDescent="0.35">
      <c r="B105" s="17">
        <v>2019</v>
      </c>
      <c r="C105" s="13">
        <v>10647</v>
      </c>
      <c r="D105" s="21">
        <v>0.17</v>
      </c>
      <c r="E105" s="13">
        <f t="shared" si="104"/>
        <v>1809.9900000000002</v>
      </c>
    </row>
    <row r="106" spans="2:6" x14ac:dyDescent="0.35">
      <c r="B106" s="17">
        <v>2020</v>
      </c>
      <c r="C106" s="13">
        <v>11004</v>
      </c>
      <c r="D106" s="21">
        <v>0.17</v>
      </c>
      <c r="E106" s="13">
        <f t="shared" si="104"/>
        <v>1870.68</v>
      </c>
    </row>
    <row r="107" spans="2:6" x14ac:dyDescent="0.35">
      <c r="B107" s="17">
        <v>2021</v>
      </c>
      <c r="C107" s="13">
        <v>11445</v>
      </c>
      <c r="D107" s="21">
        <v>0.17</v>
      </c>
      <c r="E107" s="13">
        <f t="shared" si="104"/>
        <v>1945.65</v>
      </c>
    </row>
    <row r="108" spans="2:6" x14ac:dyDescent="0.35">
      <c r="B108" s="17">
        <v>2022</v>
      </c>
      <c r="C108" s="13">
        <v>11420</v>
      </c>
      <c r="D108" s="21">
        <v>0.16</v>
      </c>
      <c r="E108" s="13">
        <f t="shared" si="104"/>
        <v>1827.2</v>
      </c>
    </row>
    <row r="109" spans="2:6" x14ac:dyDescent="0.35">
      <c r="B109" s="17">
        <v>2023</v>
      </c>
      <c r="C109" s="13">
        <v>11700</v>
      </c>
      <c r="D109" s="21">
        <v>0.15</v>
      </c>
      <c r="E109" s="13">
        <f t="shared" si="104"/>
        <v>1755</v>
      </c>
    </row>
    <row r="110" spans="2:6" x14ac:dyDescent="0.35">
      <c r="B110" s="17">
        <v>2024</v>
      </c>
      <c r="C110" s="13">
        <v>11598</v>
      </c>
      <c r="D110" s="21">
        <v>0.15</v>
      </c>
    </row>
    <row r="112" spans="2:6" ht="18" customHeight="1" x14ac:dyDescent="0.35">
      <c r="B112" s="10" t="s">
        <v>207</v>
      </c>
    </row>
    <row r="113" spans="2:5" ht="32" customHeight="1" x14ac:dyDescent="0.35">
      <c r="B113" s="11" t="s">
        <v>208</v>
      </c>
      <c r="C113" s="11" t="s">
        <v>204</v>
      </c>
      <c r="D113" s="11" t="s">
        <v>205</v>
      </c>
      <c r="E113" s="11" t="s">
        <v>206</v>
      </c>
    </row>
    <row r="114" spans="2:5" x14ac:dyDescent="0.35">
      <c r="B114" s="17">
        <v>2000</v>
      </c>
      <c r="C114" s="18">
        <v>8410.8400620000011</v>
      </c>
      <c r="D114" s="20">
        <v>1.8065325803362065E-2</v>
      </c>
      <c r="E114" s="19">
        <f t="shared" ref="E114:E137" si="105">C114*D114</f>
        <v>151.94456600000001</v>
      </c>
    </row>
    <row r="115" spans="2:5" x14ac:dyDescent="0.35">
      <c r="B115" s="17">
        <v>2001</v>
      </c>
      <c r="C115" s="18">
        <v>9915.0079320000004</v>
      </c>
      <c r="D115" s="20">
        <v>1.7425897910012887E-2</v>
      </c>
      <c r="E115" s="19">
        <f t="shared" si="105"/>
        <v>172.777916</v>
      </c>
    </row>
    <row r="116" spans="2:5" x14ac:dyDescent="0.35">
      <c r="B116" s="17">
        <v>2002</v>
      </c>
      <c r="C116" s="18">
        <v>10170.008136</v>
      </c>
      <c r="D116" s="20">
        <v>1.4148366655741287E-2</v>
      </c>
      <c r="E116" s="19">
        <f t="shared" si="105"/>
        <v>143.889004</v>
      </c>
    </row>
    <row r="117" spans="2:5" x14ac:dyDescent="0.35">
      <c r="B117" s="17">
        <v>2003</v>
      </c>
      <c r="C117" s="18">
        <v>10708.064122000002</v>
      </c>
      <c r="D117" s="20">
        <v>1.2685153959895197E-2</v>
      </c>
      <c r="E117" s="19">
        <f t="shared" si="105"/>
        <v>135.83344200000002</v>
      </c>
    </row>
    <row r="118" spans="2:5" x14ac:dyDescent="0.35">
      <c r="B118" s="17">
        <v>2004</v>
      </c>
      <c r="C118" s="18">
        <v>11234.453432</v>
      </c>
      <c r="D118" s="20">
        <v>1.2362773217288103E-2</v>
      </c>
      <c r="E118" s="19">
        <f t="shared" si="105"/>
        <v>138.88900000000001</v>
      </c>
    </row>
    <row r="119" spans="2:5" x14ac:dyDescent="0.35">
      <c r="B119" s="17">
        <v>2005</v>
      </c>
      <c r="C119" s="18">
        <v>11746.120508000002</v>
      </c>
      <c r="D119" s="20">
        <v>1.2580996074350849E-2</v>
      </c>
      <c r="E119" s="19">
        <f t="shared" si="105"/>
        <v>147.77789600000003</v>
      </c>
    </row>
    <row r="120" spans="2:5" x14ac:dyDescent="0.35">
      <c r="B120" s="17">
        <v>2006</v>
      </c>
      <c r="C120" s="18">
        <v>12963.899260000002</v>
      </c>
      <c r="D120" s="20">
        <v>1.1570602099850009E-2</v>
      </c>
      <c r="E120" s="19">
        <f t="shared" si="105"/>
        <v>150.00012000000001</v>
      </c>
    </row>
    <row r="121" spans="2:5" x14ac:dyDescent="0.35">
      <c r="B121" s="17">
        <v>2007</v>
      </c>
      <c r="C121" s="18">
        <v>14595.011676000002</v>
      </c>
      <c r="D121" s="20">
        <v>9.5732937459556168E-3</v>
      </c>
      <c r="E121" s="19">
        <f t="shared" si="105"/>
        <v>139.72233400000002</v>
      </c>
    </row>
    <row r="122" spans="2:5" x14ac:dyDescent="0.35">
      <c r="B122" s="17">
        <v>2008</v>
      </c>
      <c r="C122" s="18">
        <v>15175</v>
      </c>
      <c r="D122" s="20">
        <v>8.9999999999999993E-3</v>
      </c>
      <c r="E122" s="19">
        <f t="shared" si="105"/>
        <v>136.57499999999999</v>
      </c>
    </row>
    <row r="123" spans="2:5" x14ac:dyDescent="0.35">
      <c r="B123" s="17">
        <v>2009</v>
      </c>
      <c r="C123" s="18">
        <v>13445</v>
      </c>
      <c r="D123" s="20">
        <v>8.9999999999999993E-3</v>
      </c>
      <c r="E123" s="19">
        <f t="shared" si="105"/>
        <v>121.005</v>
      </c>
    </row>
    <row r="124" spans="2:5" x14ac:dyDescent="0.35">
      <c r="B124" s="17">
        <v>2010</v>
      </c>
      <c r="C124" s="18">
        <v>14126</v>
      </c>
      <c r="D124" s="20">
        <v>8.9999999999999993E-3</v>
      </c>
      <c r="E124" s="19">
        <f t="shared" si="105"/>
        <v>127.13399999999999</v>
      </c>
    </row>
    <row r="125" spans="2:5" x14ac:dyDescent="0.35">
      <c r="B125" s="17">
        <v>2011</v>
      </c>
      <c r="C125" s="18">
        <v>12773</v>
      </c>
      <c r="D125" s="20">
        <v>0.01</v>
      </c>
      <c r="E125" s="19">
        <f t="shared" si="105"/>
        <v>127.73</v>
      </c>
    </row>
    <row r="126" spans="2:5" x14ac:dyDescent="0.35">
      <c r="B126" s="17">
        <v>2012</v>
      </c>
      <c r="C126" s="18">
        <v>12420</v>
      </c>
      <c r="D126" s="20">
        <v>0.01</v>
      </c>
      <c r="E126" s="19">
        <f t="shared" si="105"/>
        <v>124.2</v>
      </c>
    </row>
    <row r="127" spans="2:5" x14ac:dyDescent="0.35">
      <c r="B127" s="17">
        <v>2013</v>
      </c>
      <c r="C127" s="18">
        <v>12588</v>
      </c>
      <c r="D127" s="20">
        <v>0.01</v>
      </c>
      <c r="E127" s="19">
        <f t="shared" si="105"/>
        <v>125.88000000000001</v>
      </c>
    </row>
    <row r="128" spans="2:5" x14ac:dyDescent="0.35">
      <c r="B128" s="17">
        <v>2014</v>
      </c>
      <c r="C128" s="18">
        <v>12860</v>
      </c>
      <c r="D128" s="20">
        <v>8.9999999999999993E-3</v>
      </c>
      <c r="E128" s="19">
        <f t="shared" si="105"/>
        <v>115.74</v>
      </c>
    </row>
    <row r="129" spans="2:5" x14ac:dyDescent="0.35">
      <c r="B129" s="17">
        <v>2015</v>
      </c>
      <c r="C129" s="18">
        <v>13605</v>
      </c>
      <c r="D129" s="20">
        <v>8.0000000000000002E-3</v>
      </c>
      <c r="E129" s="19">
        <f t="shared" si="105"/>
        <v>108.84</v>
      </c>
    </row>
    <row r="130" spans="2:5" x14ac:dyDescent="0.35">
      <c r="B130" s="17">
        <v>2016</v>
      </c>
      <c r="C130" s="18">
        <v>13827</v>
      </c>
      <c r="D130" s="20">
        <v>8.0000000000000002E-3</v>
      </c>
      <c r="E130" s="19">
        <f t="shared" si="105"/>
        <v>110.616</v>
      </c>
    </row>
    <row r="131" spans="2:5" x14ac:dyDescent="0.35">
      <c r="B131" s="17">
        <v>2017</v>
      </c>
      <c r="C131" s="18">
        <v>14430</v>
      </c>
      <c r="D131" s="20">
        <v>7.0000000000000001E-3</v>
      </c>
      <c r="E131" s="19">
        <f t="shared" si="105"/>
        <v>101.01</v>
      </c>
    </row>
    <row r="132" spans="2:5" x14ac:dyDescent="0.35">
      <c r="B132" s="17">
        <v>2018</v>
      </c>
      <c r="C132" s="18">
        <v>15054</v>
      </c>
      <c r="D132" s="20">
        <v>7.0000000000000001E-3</v>
      </c>
      <c r="E132" s="19">
        <f t="shared" si="105"/>
        <v>105.378</v>
      </c>
    </row>
    <row r="133" spans="2:5" x14ac:dyDescent="0.35">
      <c r="B133" s="17">
        <v>2019</v>
      </c>
      <c r="C133" s="18">
        <v>14993</v>
      </c>
      <c r="D133" s="20">
        <v>7.0000000000000001E-3</v>
      </c>
      <c r="E133" s="19">
        <f t="shared" si="105"/>
        <v>104.95100000000001</v>
      </c>
    </row>
    <row r="134" spans="2:5" x14ac:dyDescent="0.35">
      <c r="B134" s="17">
        <v>2020</v>
      </c>
      <c r="C134" s="18">
        <v>13078</v>
      </c>
      <c r="D134" s="20">
        <v>7.0000000000000001E-3</v>
      </c>
      <c r="E134" s="19">
        <f t="shared" si="105"/>
        <v>91.546000000000006</v>
      </c>
    </row>
    <row r="135" spans="2:5" x14ac:dyDescent="0.35">
      <c r="B135" s="17">
        <v>2021</v>
      </c>
      <c r="C135" s="18">
        <v>13783</v>
      </c>
      <c r="D135" s="20">
        <v>7.0000000000000001E-3</v>
      </c>
      <c r="E135" s="19">
        <f t="shared" si="105"/>
        <v>96.481000000000009</v>
      </c>
    </row>
    <row r="136" spans="2:5" x14ac:dyDescent="0.35">
      <c r="B136" s="17">
        <v>2022</v>
      </c>
      <c r="C136" s="18">
        <v>13860</v>
      </c>
      <c r="D136" s="20">
        <v>7.0000000000000001E-3</v>
      </c>
      <c r="E136" s="19">
        <f t="shared" si="105"/>
        <v>97.02</v>
      </c>
    </row>
    <row r="137" spans="2:5" x14ac:dyDescent="0.35">
      <c r="B137" s="17">
        <v>2023</v>
      </c>
      <c r="C137" s="18">
        <v>13779</v>
      </c>
      <c r="D137" s="20">
        <v>8.0000000000000002E-3</v>
      </c>
      <c r="E137" s="19">
        <f t="shared" si="105"/>
        <v>110.232</v>
      </c>
    </row>
    <row r="138" spans="2:5" x14ac:dyDescent="0.35">
      <c r="B138" s="17">
        <v>2024</v>
      </c>
      <c r="C138" s="18">
        <v>12970</v>
      </c>
      <c r="D138" s="20">
        <v>8.9999999999999993E-3</v>
      </c>
    </row>
    <row r="140" spans="2:5" ht="18" customHeight="1" x14ac:dyDescent="0.35">
      <c r="B140" s="10" t="s">
        <v>209</v>
      </c>
    </row>
    <row r="141" spans="2:5" ht="32" customHeight="1" x14ac:dyDescent="0.35">
      <c r="B141" s="11" t="s">
        <v>134</v>
      </c>
      <c r="C141" s="11" t="s">
        <v>204</v>
      </c>
      <c r="D141" s="11" t="s">
        <v>205</v>
      </c>
      <c r="E141" s="11" t="s">
        <v>206</v>
      </c>
    </row>
    <row r="142" spans="2:5" x14ac:dyDescent="0.35">
      <c r="B142" s="17">
        <v>2000</v>
      </c>
      <c r="C142" s="18">
        <v>20927.794520000003</v>
      </c>
      <c r="D142" s="21">
        <v>0.13</v>
      </c>
      <c r="E142" s="13">
        <f t="shared" ref="E142:E165" si="106">C142*D142</f>
        <v>2720.6132876000006</v>
      </c>
    </row>
    <row r="143" spans="2:5" x14ac:dyDescent="0.35">
      <c r="B143" s="17">
        <v>2001</v>
      </c>
      <c r="C143" s="18">
        <v>22613.073646000001</v>
      </c>
      <c r="D143" s="21">
        <v>0.12</v>
      </c>
      <c r="E143" s="13">
        <f t="shared" si="106"/>
        <v>2713.5688375199998</v>
      </c>
    </row>
    <row r="144" spans="2:5" x14ac:dyDescent="0.35">
      <c r="B144" s="17">
        <v>2002</v>
      </c>
      <c r="C144" s="18">
        <v>22865.018292000004</v>
      </c>
      <c r="D144" s="21">
        <v>0.13</v>
      </c>
      <c r="E144" s="13">
        <f t="shared" si="106"/>
        <v>2972.4523779600008</v>
      </c>
    </row>
    <row r="145" spans="2:5" x14ac:dyDescent="0.35">
      <c r="B145" s="17">
        <v>2003</v>
      </c>
      <c r="C145" s="18">
        <v>24004.185870000001</v>
      </c>
      <c r="D145" s="21">
        <v>0.14000000000000001</v>
      </c>
      <c r="E145" s="13">
        <f t="shared" si="106"/>
        <v>3360.5860218000007</v>
      </c>
    </row>
    <row r="146" spans="2:5" x14ac:dyDescent="0.35">
      <c r="B146" s="17">
        <v>2004</v>
      </c>
      <c r="C146" s="18">
        <v>24070.019256000003</v>
      </c>
      <c r="D146" s="21">
        <v>0.14000000000000001</v>
      </c>
      <c r="E146" s="13">
        <f t="shared" si="106"/>
        <v>3369.802695840001</v>
      </c>
    </row>
    <row r="147" spans="2:5" x14ac:dyDescent="0.35">
      <c r="B147" s="17">
        <v>2005</v>
      </c>
      <c r="C147" s="18">
        <v>24413.630642000004</v>
      </c>
      <c r="D147" s="21">
        <v>0.15</v>
      </c>
      <c r="E147" s="13">
        <f t="shared" si="106"/>
        <v>3662.0445963000006</v>
      </c>
    </row>
    <row r="148" spans="2:5" x14ac:dyDescent="0.35">
      <c r="B148" s="17">
        <v>2006</v>
      </c>
      <c r="C148" s="18">
        <v>24618.353028000005</v>
      </c>
      <c r="D148" s="21">
        <v>0.16</v>
      </c>
      <c r="E148" s="13">
        <f t="shared" si="106"/>
        <v>3938.9364844800007</v>
      </c>
    </row>
    <row r="149" spans="2:5" x14ac:dyDescent="0.35">
      <c r="B149" s="17">
        <v>2007</v>
      </c>
      <c r="C149" s="18">
        <v>24904.742146000004</v>
      </c>
      <c r="D149" s="21">
        <v>0.18</v>
      </c>
      <c r="E149" s="13">
        <f t="shared" si="106"/>
        <v>4482.8535862800009</v>
      </c>
    </row>
    <row r="150" spans="2:5" x14ac:dyDescent="0.35">
      <c r="B150" s="17">
        <v>2008</v>
      </c>
      <c r="C150" s="18">
        <v>23987</v>
      </c>
      <c r="D150" s="21">
        <v>0.19</v>
      </c>
      <c r="E150" s="13">
        <f t="shared" si="106"/>
        <v>4557.53</v>
      </c>
    </row>
    <row r="151" spans="2:5" x14ac:dyDescent="0.35">
      <c r="B151" s="17">
        <v>2009</v>
      </c>
      <c r="C151" s="18">
        <v>24523</v>
      </c>
      <c r="D151" s="21">
        <v>0.18</v>
      </c>
      <c r="E151" s="13">
        <f t="shared" si="106"/>
        <v>4414.1399999999994</v>
      </c>
    </row>
    <row r="152" spans="2:5" x14ac:dyDescent="0.35">
      <c r="B152" s="17">
        <v>2010</v>
      </c>
      <c r="C152" s="18">
        <v>23144</v>
      </c>
      <c r="D152" s="21">
        <v>0.19</v>
      </c>
      <c r="E152" s="13">
        <f t="shared" si="106"/>
        <v>4397.3599999999997</v>
      </c>
    </row>
    <row r="153" spans="2:5" x14ac:dyDescent="0.35">
      <c r="B153" s="17">
        <v>2011</v>
      </c>
      <c r="C153" s="18">
        <v>21942</v>
      </c>
      <c r="D153" s="21">
        <v>0.19</v>
      </c>
      <c r="E153" s="13">
        <f t="shared" si="106"/>
        <v>4168.9800000000005</v>
      </c>
    </row>
    <row r="154" spans="2:5" x14ac:dyDescent="0.35">
      <c r="B154" s="17">
        <v>2012</v>
      </c>
      <c r="C154" s="18">
        <v>23259</v>
      </c>
      <c r="D154" s="21">
        <v>0.2</v>
      </c>
      <c r="E154" s="13">
        <f t="shared" si="106"/>
        <v>4651.8</v>
      </c>
    </row>
    <row r="155" spans="2:5" x14ac:dyDescent="0.35">
      <c r="B155" s="17">
        <v>2013</v>
      </c>
      <c r="C155" s="18">
        <v>21759</v>
      </c>
      <c r="D155" s="21">
        <v>0.21</v>
      </c>
      <c r="E155" s="13">
        <f t="shared" si="106"/>
        <v>4569.3899999999994</v>
      </c>
    </row>
    <row r="156" spans="2:5" x14ac:dyDescent="0.35">
      <c r="B156" s="17">
        <v>2014</v>
      </c>
      <c r="C156" s="18">
        <v>21500</v>
      </c>
      <c r="D156" s="21">
        <v>0.22</v>
      </c>
      <c r="E156" s="13">
        <f t="shared" si="106"/>
        <v>4730</v>
      </c>
    </row>
    <row r="157" spans="2:5" x14ac:dyDescent="0.35">
      <c r="B157" s="17">
        <v>2015</v>
      </c>
      <c r="C157" s="18">
        <v>19702</v>
      </c>
      <c r="D157" s="21">
        <v>0.23</v>
      </c>
      <c r="E157" s="13">
        <f t="shared" si="106"/>
        <v>4531.46</v>
      </c>
    </row>
    <row r="158" spans="2:5" x14ac:dyDescent="0.35">
      <c r="B158" s="17">
        <v>2016</v>
      </c>
      <c r="C158" s="18">
        <v>20243</v>
      </c>
      <c r="D158" s="21">
        <v>0.22</v>
      </c>
      <c r="E158" s="13">
        <f t="shared" si="106"/>
        <v>4453.46</v>
      </c>
    </row>
    <row r="159" spans="2:5" x14ac:dyDescent="0.35">
      <c r="B159" s="17">
        <v>2017</v>
      </c>
      <c r="C159" s="18">
        <v>20994</v>
      </c>
      <c r="D159" s="21">
        <v>0.21</v>
      </c>
      <c r="E159" s="13">
        <f t="shared" si="106"/>
        <v>4408.74</v>
      </c>
    </row>
    <row r="160" spans="2:5" x14ac:dyDescent="0.35">
      <c r="B160" s="17">
        <v>2018</v>
      </c>
      <c r="C160" s="18">
        <v>21199</v>
      </c>
      <c r="D160" s="21">
        <v>0.21</v>
      </c>
      <c r="E160" s="13">
        <f t="shared" si="106"/>
        <v>4451.79</v>
      </c>
    </row>
    <row r="161" spans="2:5" x14ac:dyDescent="0.35">
      <c r="B161" s="17">
        <v>2019</v>
      </c>
      <c r="C161" s="18">
        <v>20428</v>
      </c>
      <c r="D161" s="21">
        <v>0.22</v>
      </c>
      <c r="E161" s="13">
        <f t="shared" si="106"/>
        <v>4494.16</v>
      </c>
    </row>
    <row r="162" spans="2:5" x14ac:dyDescent="0.35">
      <c r="B162" s="17">
        <v>2020</v>
      </c>
      <c r="C162" s="18">
        <v>19383</v>
      </c>
      <c r="D162" s="21">
        <v>0.22</v>
      </c>
      <c r="E162" s="13">
        <f t="shared" si="106"/>
        <v>4264.26</v>
      </c>
    </row>
    <row r="163" spans="2:5" x14ac:dyDescent="0.35">
      <c r="B163" s="17">
        <v>2021</v>
      </c>
      <c r="C163" s="18">
        <v>20939</v>
      </c>
      <c r="D163" s="21">
        <v>0.21</v>
      </c>
      <c r="E163" s="13">
        <f t="shared" si="106"/>
        <v>4397.1899999999996</v>
      </c>
    </row>
    <row r="164" spans="2:5" x14ac:dyDescent="0.35">
      <c r="B164" s="17">
        <v>2022</v>
      </c>
      <c r="C164" s="18">
        <v>19589</v>
      </c>
      <c r="D164" s="21">
        <v>0.22</v>
      </c>
      <c r="E164" s="13">
        <f t="shared" si="106"/>
        <v>4309.58</v>
      </c>
    </row>
    <row r="165" spans="2:5" x14ac:dyDescent="0.35">
      <c r="B165" s="17">
        <v>2023</v>
      </c>
      <c r="C165" s="18">
        <v>18750</v>
      </c>
      <c r="D165" s="21">
        <v>0.23</v>
      </c>
      <c r="E165" s="13">
        <f t="shared" si="106"/>
        <v>4312.5</v>
      </c>
    </row>
    <row r="166" spans="2:5" x14ac:dyDescent="0.35">
      <c r="B166" s="17">
        <v>2024</v>
      </c>
      <c r="C166" s="18">
        <v>19027</v>
      </c>
      <c r="D166" s="21">
        <v>0.23</v>
      </c>
    </row>
  </sheetData>
  <sheetProtection algorithmName="SHA-512" hashValue="Ng4Q4TQXAzbpywPILHUlwFnymQ6QWNXcvD8xa6NHyFOKgwWJPcrG9T38G/k/NrPDw7HTCc64NruahU7sqRb1ww==" saltValue="cNM4Coskthder+RWK5XRWw==" spinCount="100000" sheet="1" objects="1" scenarios="1"/>
  <mergeCells count="34">
    <mergeCell ref="C73:E73"/>
    <mergeCell ref="C71:E71"/>
    <mergeCell ref="A61:A65"/>
    <mergeCell ref="A66:A70"/>
    <mergeCell ref="DR5:DV5"/>
    <mergeCell ref="DW5:EA5"/>
    <mergeCell ref="A9:A13"/>
    <mergeCell ref="A14:A26"/>
    <mergeCell ref="CS5:CW5"/>
    <mergeCell ref="CX5:DB5"/>
    <mergeCell ref="DC5:DG5"/>
    <mergeCell ref="DH5:DL5"/>
    <mergeCell ref="DM5:DQ5"/>
    <mergeCell ref="BT5:BX5"/>
    <mergeCell ref="BY5:CC5"/>
    <mergeCell ref="CD5:CH5"/>
    <mergeCell ref="CI5:CM5"/>
    <mergeCell ref="CN5:CR5"/>
    <mergeCell ref="A1:J3"/>
    <mergeCell ref="N4:AG4"/>
    <mergeCell ref="AL4:BJ4"/>
    <mergeCell ref="BO4:CM4"/>
    <mergeCell ref="A5:A8"/>
    <mergeCell ref="K5:K26"/>
    <mergeCell ref="N5:R5"/>
    <mergeCell ref="S5:W5"/>
    <mergeCell ref="X5:AB5"/>
    <mergeCell ref="AC5:AG5"/>
    <mergeCell ref="AL5:AP5"/>
    <mergeCell ref="AQ5:AU5"/>
    <mergeCell ref="AV5:AZ5"/>
    <mergeCell ref="BA5:BE5"/>
    <mergeCell ref="BF5:BJ5"/>
    <mergeCell ref="BO5:BS5"/>
  </mergeCells>
  <hyperlinks>
    <hyperlink ref="H5" r:id="rId1" xr:uid="{00000000-0004-0000-0600-000000000000}"/>
  </hyperlinks>
  <pageMargins left="0.7" right="0.7" top="0.75" bottom="0.75" header="0.511811023622047" footer="0.511811023622047"/>
  <pageSetup paperSize="9" orientation="portrait" horizontalDpi="300" verticalDpi="30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4D33"/>
  </sheetPr>
  <dimension ref="A1:ED165"/>
  <sheetViews>
    <sheetView showGridLines="0" zoomScale="64" zoomScaleNormal="85" workbookViewId="0">
      <selection activeCell="K5" sqref="K5:K26"/>
    </sheetView>
  </sheetViews>
  <sheetFormatPr defaultColWidth="8.54296875" defaultRowHeight="14.5" x14ac:dyDescent="0.35"/>
  <cols>
    <col min="1" max="1" width="13" customWidth="1"/>
    <col min="2" max="2" width="33" customWidth="1"/>
    <col min="3" max="4" width="13" style="7" customWidth="1"/>
    <col min="5" max="6" width="14" customWidth="1"/>
    <col min="7" max="7" width="22" customWidth="1"/>
    <col min="8" max="8" width="30" customWidth="1"/>
    <col min="9" max="9" width="36" customWidth="1"/>
    <col min="10" max="10" width="12" customWidth="1"/>
    <col min="11" max="11" width="11" customWidth="1"/>
    <col min="12" max="12" width="12" customWidth="1"/>
    <col min="13" max="15" width="10.54296875" style="7" customWidth="1"/>
    <col min="16" max="16" width="11.6328125" style="7" customWidth="1"/>
    <col min="17" max="17" width="10.54296875" style="7" customWidth="1"/>
    <col min="18" max="18" width="15.453125" style="7" customWidth="1"/>
    <col min="19" max="20" width="10.54296875" style="7" customWidth="1"/>
    <col min="21" max="21" width="11.6328125" style="7" customWidth="1"/>
    <col min="22" max="22" width="10.54296875" style="7" customWidth="1"/>
    <col min="23" max="23" width="15.453125" style="7" customWidth="1"/>
    <col min="24" max="25" width="10.54296875" style="7" customWidth="1"/>
    <col min="26" max="26" width="11.6328125" style="7" customWidth="1"/>
    <col min="27" max="27" width="10.54296875" style="7" customWidth="1"/>
    <col min="28" max="28" width="15.453125" style="7" customWidth="1"/>
    <col min="29" max="30" width="10.54296875" style="7" customWidth="1"/>
    <col min="31" max="31" width="11.6328125" style="7" customWidth="1"/>
    <col min="32" max="32" width="10.54296875" style="7" customWidth="1"/>
    <col min="33" max="34" width="15.453125" style="7" customWidth="1"/>
    <col min="35" max="36" width="10.1796875" style="7" customWidth="1"/>
    <col min="37" max="39" width="10.54296875" style="7" customWidth="1"/>
    <col min="40" max="40" width="11.6328125" style="7" customWidth="1"/>
    <col min="41" max="41" width="10.54296875" style="7" customWidth="1"/>
    <col min="42" max="42" width="15.453125" style="7" customWidth="1"/>
    <col min="43" max="44" width="10.54296875" style="7" customWidth="1"/>
    <col min="45" max="45" width="11.6328125" style="7" customWidth="1"/>
    <col min="46" max="46" width="10.54296875" style="7" customWidth="1"/>
    <col min="47" max="47" width="15.453125" style="7" customWidth="1"/>
    <col min="48" max="49" width="10.54296875" style="7" customWidth="1"/>
    <col min="50" max="50" width="11.6328125" style="7" customWidth="1"/>
    <col min="51" max="51" width="10.54296875" style="7" customWidth="1"/>
    <col min="52" max="52" width="15.453125" style="7" customWidth="1"/>
    <col min="53" max="54" width="10.54296875" style="7" customWidth="1"/>
    <col min="55" max="55" width="11.6328125" style="7" customWidth="1"/>
    <col min="56" max="56" width="10.54296875" style="7" customWidth="1"/>
    <col min="57" max="57" width="15.453125" style="7" customWidth="1"/>
    <col min="58" max="59" width="10.54296875" style="7" customWidth="1"/>
    <col min="60" max="60" width="11.6328125" style="7" customWidth="1"/>
    <col min="61" max="61" width="10.54296875" style="7" customWidth="1"/>
    <col min="62" max="63" width="15.453125" style="7" customWidth="1"/>
    <col min="64" max="65" width="10.1796875" style="7" customWidth="1"/>
    <col min="66" max="68" width="10.54296875" style="7" customWidth="1"/>
    <col min="69" max="69" width="11.6328125" style="7" customWidth="1"/>
    <col min="70" max="70" width="10.54296875" style="7" customWidth="1"/>
    <col min="71" max="71" width="15.453125" style="7" customWidth="1"/>
    <col min="72" max="73" width="10.54296875" style="7" customWidth="1"/>
    <col min="74" max="74" width="11.6328125" style="7" customWidth="1"/>
    <col min="75" max="75" width="10.7265625" style="7" customWidth="1"/>
    <col min="76" max="76" width="15.453125" style="7" customWidth="1"/>
    <col min="77" max="78" width="10.54296875" style="7" customWidth="1"/>
    <col min="79" max="79" width="11.6328125" style="7" customWidth="1"/>
    <col min="80" max="80" width="10.54296875" style="7" customWidth="1"/>
    <col min="81" max="81" width="15.453125" style="7" customWidth="1"/>
    <col min="82" max="83" width="10.54296875" style="7" customWidth="1"/>
    <col min="84" max="84" width="11.6328125" style="7" customWidth="1"/>
    <col min="85" max="85" width="10.54296875" style="7" customWidth="1"/>
    <col min="86" max="86" width="15.453125" style="7" customWidth="1"/>
    <col min="87" max="88" width="10.54296875" style="7" customWidth="1"/>
    <col min="89" max="89" width="11.6328125" style="7" customWidth="1"/>
    <col min="90" max="90" width="10.54296875" style="7" customWidth="1"/>
    <col min="91" max="91" width="15.453125" style="7" customWidth="1"/>
    <col min="92" max="93" width="10.54296875" style="7" customWidth="1"/>
    <col min="94" max="94" width="11.6328125" style="7" customWidth="1"/>
    <col min="95" max="95" width="10.54296875" style="7" customWidth="1"/>
    <col min="96" max="96" width="15.453125" style="7" customWidth="1"/>
    <col min="97" max="98" width="10.54296875" style="7" customWidth="1"/>
    <col min="99" max="99" width="11.6328125" style="7" customWidth="1"/>
    <col min="100" max="100" width="10.54296875" style="7" customWidth="1"/>
    <col min="101" max="101" width="15.453125" style="7" customWidth="1"/>
    <col min="102" max="103" width="10.54296875" style="7" customWidth="1"/>
    <col min="104" max="104" width="11.6328125" style="7" customWidth="1"/>
    <col min="105" max="105" width="10.54296875" style="7" customWidth="1"/>
    <col min="106" max="106" width="15.453125" style="7" customWidth="1"/>
    <col min="107" max="108" width="10.54296875" style="7" customWidth="1"/>
    <col min="109" max="109" width="11.6328125" style="7" customWidth="1"/>
    <col min="110" max="110" width="10.54296875" style="7" customWidth="1"/>
    <col min="111" max="111" width="15.453125" style="7" customWidth="1"/>
    <col min="112" max="112" width="10.54296875" style="7" customWidth="1"/>
    <col min="113" max="113" width="10.7265625" style="7" customWidth="1"/>
    <col min="114" max="114" width="11.6328125" style="7" customWidth="1"/>
    <col min="115" max="115" width="10.54296875" style="7" customWidth="1"/>
    <col min="116" max="116" width="15.453125" style="7" customWidth="1"/>
    <col min="117" max="118" width="10.54296875" style="7" customWidth="1"/>
    <col min="119" max="119" width="11.6328125" style="7" customWidth="1"/>
    <col min="120" max="120" width="10.54296875" style="7" customWidth="1"/>
    <col min="121" max="121" width="15.453125" style="7" customWidth="1"/>
    <col min="122" max="123" width="10.54296875" style="7" customWidth="1"/>
    <col min="124" max="124" width="11.6328125" style="7" customWidth="1"/>
    <col min="125" max="125" width="10.54296875" style="7" customWidth="1"/>
    <col min="126" max="126" width="15.453125" style="7" customWidth="1"/>
    <col min="127" max="128" width="10.54296875" style="7" customWidth="1"/>
    <col min="129" max="129" width="11.6328125" style="7" customWidth="1"/>
    <col min="130" max="130" width="10.54296875" style="7" customWidth="1"/>
    <col min="131" max="132" width="15.453125" style="7" customWidth="1"/>
    <col min="133" max="134" width="10.1796875" style="7" customWidth="1"/>
  </cols>
  <sheetData>
    <row r="1" spans="1:134" ht="24" customHeight="1" x14ac:dyDescent="0.35">
      <c r="A1" s="82" t="s">
        <v>141</v>
      </c>
      <c r="B1" s="82"/>
      <c r="C1" s="82"/>
      <c r="D1" s="82"/>
      <c r="E1" s="82"/>
      <c r="F1" s="82"/>
      <c r="G1" s="82"/>
      <c r="H1" s="82"/>
      <c r="I1" s="82"/>
      <c r="J1" s="82"/>
    </row>
    <row r="2" spans="1:134" x14ac:dyDescent="0.35">
      <c r="A2" s="82"/>
      <c r="B2" s="82"/>
      <c r="C2" s="82"/>
      <c r="D2" s="82"/>
      <c r="E2" s="82"/>
      <c r="F2" s="82"/>
      <c r="G2" s="82"/>
      <c r="H2" s="82"/>
      <c r="I2" s="82"/>
      <c r="J2" s="82"/>
    </row>
    <row r="3" spans="1:134" ht="15" customHeight="1" x14ac:dyDescent="0.35">
      <c r="A3" s="82"/>
      <c r="B3" s="82"/>
      <c r="C3" s="82"/>
      <c r="D3" s="82"/>
      <c r="E3" s="82"/>
      <c r="F3" s="82"/>
      <c r="G3" s="82"/>
      <c r="H3" s="82"/>
      <c r="I3" s="82"/>
      <c r="J3" s="82"/>
    </row>
    <row r="4" spans="1:134" ht="58" customHeight="1" x14ac:dyDescent="0.35">
      <c r="A4" s="11" t="s">
        <v>142</v>
      </c>
      <c r="B4" s="22" t="s">
        <v>143</v>
      </c>
      <c r="C4" s="28" t="s">
        <v>144</v>
      </c>
      <c r="D4" s="28" t="s">
        <v>145</v>
      </c>
      <c r="E4" s="54" t="s">
        <v>146</v>
      </c>
      <c r="F4" s="54" t="s">
        <v>147</v>
      </c>
      <c r="G4" s="11" t="s">
        <v>186</v>
      </c>
      <c r="H4" s="22" t="s">
        <v>148</v>
      </c>
      <c r="I4" s="22" t="s">
        <v>149</v>
      </c>
      <c r="J4" s="11" t="s">
        <v>150</v>
      </c>
      <c r="K4" s="11" t="s">
        <v>151</v>
      </c>
      <c r="L4" s="11" t="s">
        <v>152</v>
      </c>
      <c r="N4" s="83" t="s">
        <v>128</v>
      </c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L4" s="83" t="s">
        <v>153</v>
      </c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O4" s="83" t="s">
        <v>126</v>
      </c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</row>
    <row r="5" spans="1:134" ht="28.5" customHeight="1" thickBot="1" x14ac:dyDescent="0.4">
      <c r="A5" s="77" t="s">
        <v>128</v>
      </c>
      <c r="B5" s="23" t="s">
        <v>154</v>
      </c>
      <c r="C5" s="34">
        <v>12.9</v>
      </c>
      <c r="D5" s="34">
        <v>342.16899999999998</v>
      </c>
      <c r="E5" s="21">
        <f t="shared" ref="E5:E26" si="0">IF(D5=0,0,C5/D5)</f>
        <v>3.7700668383167386E-2</v>
      </c>
      <c r="F5" s="21">
        <f>1889 / 10774</f>
        <v>0.17532949693707073</v>
      </c>
      <c r="G5" s="55">
        <v>0.9</v>
      </c>
      <c r="H5" s="23" t="s">
        <v>155</v>
      </c>
      <c r="I5" s="23" t="s">
        <v>156</v>
      </c>
      <c r="J5" s="56">
        <f>F5/E5</f>
        <v>4.6505673362372519</v>
      </c>
      <c r="K5" s="84">
        <f>'Efficiency Assumptions'!B13</f>
        <v>0.3</v>
      </c>
      <c r="L5" s="58">
        <f>G5</f>
        <v>0.9</v>
      </c>
      <c r="N5" s="85" t="s">
        <v>154</v>
      </c>
      <c r="O5" s="85"/>
      <c r="P5" s="85"/>
      <c r="Q5" s="85"/>
      <c r="R5" s="85"/>
      <c r="S5" s="85" t="s">
        <v>157</v>
      </c>
      <c r="T5" s="85"/>
      <c r="U5" s="85"/>
      <c r="V5" s="85"/>
      <c r="W5" s="85"/>
      <c r="X5" s="85" t="s">
        <v>158</v>
      </c>
      <c r="Y5" s="85"/>
      <c r="Z5" s="85"/>
      <c r="AA5" s="85"/>
      <c r="AB5" s="85"/>
      <c r="AC5" s="85" t="s">
        <v>158</v>
      </c>
      <c r="AD5" s="85"/>
      <c r="AE5" s="85"/>
      <c r="AF5" s="85"/>
      <c r="AG5" s="85"/>
      <c r="AL5" s="85" t="s">
        <v>159</v>
      </c>
      <c r="AM5" s="85"/>
      <c r="AN5" s="85"/>
      <c r="AO5" s="85"/>
      <c r="AP5" s="85"/>
      <c r="AQ5" s="85" t="s">
        <v>160</v>
      </c>
      <c r="AR5" s="85"/>
      <c r="AS5" s="85"/>
      <c r="AT5" s="85"/>
      <c r="AU5" s="85"/>
      <c r="AV5" s="85" t="s">
        <v>161</v>
      </c>
      <c r="AW5" s="85"/>
      <c r="AX5" s="85"/>
      <c r="AY5" s="85"/>
      <c r="AZ5" s="85"/>
      <c r="BA5" s="85" t="s">
        <v>162</v>
      </c>
      <c r="BB5" s="85"/>
      <c r="BC5" s="85"/>
      <c r="BD5" s="85"/>
      <c r="BE5" s="85"/>
      <c r="BF5" s="85" t="s">
        <v>163</v>
      </c>
      <c r="BG5" s="85"/>
      <c r="BH5" s="85"/>
      <c r="BI5" s="85"/>
      <c r="BJ5" s="85"/>
      <c r="BO5" s="85" t="s">
        <v>31</v>
      </c>
      <c r="BP5" s="85"/>
      <c r="BQ5" s="85"/>
      <c r="BR5" s="85"/>
      <c r="BS5" s="85"/>
      <c r="BT5" s="85" t="s">
        <v>33</v>
      </c>
      <c r="BU5" s="85"/>
      <c r="BV5" s="85"/>
      <c r="BW5" s="85"/>
      <c r="BX5" s="85"/>
      <c r="BY5" s="85" t="s">
        <v>34</v>
      </c>
      <c r="BZ5" s="85"/>
      <c r="CA5" s="85"/>
      <c r="CB5" s="85"/>
      <c r="CC5" s="85"/>
      <c r="CD5" s="85" t="s">
        <v>164</v>
      </c>
      <c r="CE5" s="85"/>
      <c r="CF5" s="85"/>
      <c r="CG5" s="85"/>
      <c r="CH5" s="85"/>
      <c r="CI5" s="85" t="s">
        <v>36</v>
      </c>
      <c r="CJ5" s="85"/>
      <c r="CK5" s="85"/>
      <c r="CL5" s="85"/>
      <c r="CM5" s="85"/>
      <c r="CN5" s="85" t="s">
        <v>37</v>
      </c>
      <c r="CO5" s="85"/>
      <c r="CP5" s="85"/>
      <c r="CQ5" s="85"/>
      <c r="CR5" s="85"/>
      <c r="CS5" s="85" t="s">
        <v>38</v>
      </c>
      <c r="CT5" s="85"/>
      <c r="CU5" s="85"/>
      <c r="CV5" s="85"/>
      <c r="CW5" s="85"/>
      <c r="CX5" s="85" t="s">
        <v>40</v>
      </c>
      <c r="CY5" s="85"/>
      <c r="CZ5" s="85"/>
      <c r="DA5" s="85"/>
      <c r="DB5" s="85"/>
      <c r="DC5" s="85" t="s">
        <v>41</v>
      </c>
      <c r="DD5" s="85"/>
      <c r="DE5" s="85"/>
      <c r="DF5" s="85"/>
      <c r="DG5" s="85"/>
      <c r="DH5" s="85" t="s">
        <v>42</v>
      </c>
      <c r="DI5" s="85"/>
      <c r="DJ5" s="85"/>
      <c r="DK5" s="85"/>
      <c r="DL5" s="85"/>
      <c r="DM5" s="85" t="s">
        <v>43</v>
      </c>
      <c r="DN5" s="85"/>
      <c r="DO5" s="85"/>
      <c r="DP5" s="85"/>
      <c r="DQ5" s="85"/>
      <c r="DR5" s="85" t="s">
        <v>44</v>
      </c>
      <c r="DS5" s="85"/>
      <c r="DT5" s="85"/>
      <c r="DU5" s="85"/>
      <c r="DV5" s="85"/>
      <c r="DW5" s="85" t="s">
        <v>45</v>
      </c>
      <c r="DX5" s="85"/>
      <c r="DY5" s="85"/>
      <c r="DZ5" s="85"/>
      <c r="EA5" s="85"/>
    </row>
    <row r="6" spans="1:134" ht="78.5" thickBot="1" x14ac:dyDescent="0.4">
      <c r="A6" s="77"/>
      <c r="B6" s="23" t="s">
        <v>157</v>
      </c>
      <c r="C6" s="34">
        <v>84.7</v>
      </c>
      <c r="D6" s="34">
        <v>23614.85</v>
      </c>
      <c r="E6" s="21">
        <f t="shared" si="0"/>
        <v>3.5867261490121686E-3</v>
      </c>
      <c r="F6" s="44">
        <v>8.9999999999999993E-3</v>
      </c>
      <c r="G6" s="55">
        <v>0.8</v>
      </c>
      <c r="H6" s="23" t="s">
        <v>165</v>
      </c>
      <c r="I6" s="23" t="s">
        <v>156</v>
      </c>
      <c r="J6" s="40">
        <v>2.5</v>
      </c>
      <c r="K6" s="84"/>
      <c r="L6" s="58">
        <f>G6</f>
        <v>0.8</v>
      </c>
      <c r="M6" s="36" t="s">
        <v>73</v>
      </c>
      <c r="N6" s="67" t="s">
        <v>166</v>
      </c>
      <c r="O6" s="28" t="s">
        <v>167</v>
      </c>
      <c r="P6" s="28" t="s">
        <v>168</v>
      </c>
      <c r="Q6" s="28" t="s">
        <v>169</v>
      </c>
      <c r="R6" s="54" t="s">
        <v>170</v>
      </c>
      <c r="S6" s="54" t="s">
        <v>166</v>
      </c>
      <c r="T6" s="28" t="s">
        <v>167</v>
      </c>
      <c r="U6" s="28" t="s">
        <v>168</v>
      </c>
      <c r="V6" s="28" t="s">
        <v>169</v>
      </c>
      <c r="W6" s="54" t="s">
        <v>170</v>
      </c>
      <c r="X6" s="54" t="s">
        <v>166</v>
      </c>
      <c r="Y6" s="28" t="s">
        <v>167</v>
      </c>
      <c r="Z6" s="28" t="s">
        <v>168</v>
      </c>
      <c r="AA6" s="28" t="s">
        <v>169</v>
      </c>
      <c r="AB6" s="54" t="s">
        <v>170</v>
      </c>
      <c r="AC6" s="54" t="s">
        <v>166</v>
      </c>
      <c r="AD6" s="28" t="s">
        <v>167</v>
      </c>
      <c r="AE6" s="28" t="s">
        <v>168</v>
      </c>
      <c r="AF6" s="28" t="s">
        <v>169</v>
      </c>
      <c r="AG6" s="54" t="s">
        <v>170</v>
      </c>
      <c r="AH6" s="54" t="s">
        <v>171</v>
      </c>
      <c r="AI6" s="11" t="s">
        <v>172</v>
      </c>
      <c r="AJ6" s="54" t="s">
        <v>173</v>
      </c>
      <c r="AL6" s="54" t="s">
        <v>166</v>
      </c>
      <c r="AM6" s="28" t="s">
        <v>167</v>
      </c>
      <c r="AN6" s="28" t="s">
        <v>168</v>
      </c>
      <c r="AO6" s="28" t="s">
        <v>169</v>
      </c>
      <c r="AP6" s="54" t="s">
        <v>170</v>
      </c>
      <c r="AQ6" s="54" t="s">
        <v>166</v>
      </c>
      <c r="AR6" s="28" t="s">
        <v>167</v>
      </c>
      <c r="AS6" s="28" t="s">
        <v>168</v>
      </c>
      <c r="AT6" s="28" t="s">
        <v>169</v>
      </c>
      <c r="AU6" s="54" t="s">
        <v>170</v>
      </c>
      <c r="AV6" s="28" t="s">
        <v>166</v>
      </c>
      <c r="AW6" s="28" t="s">
        <v>167</v>
      </c>
      <c r="AX6" s="28" t="s">
        <v>168</v>
      </c>
      <c r="AY6" s="28" t="s">
        <v>169</v>
      </c>
      <c r="AZ6" s="54" t="s">
        <v>170</v>
      </c>
      <c r="BA6" s="28" t="s">
        <v>166</v>
      </c>
      <c r="BB6" s="28" t="s">
        <v>167</v>
      </c>
      <c r="BC6" s="28" t="s">
        <v>168</v>
      </c>
      <c r="BD6" s="28" t="s">
        <v>169</v>
      </c>
      <c r="BE6" s="54" t="s">
        <v>170</v>
      </c>
      <c r="BF6" s="28" t="s">
        <v>166</v>
      </c>
      <c r="BG6" s="28" t="s">
        <v>167</v>
      </c>
      <c r="BH6" s="28" t="s">
        <v>168</v>
      </c>
      <c r="BI6" s="28" t="s">
        <v>169</v>
      </c>
      <c r="BJ6" s="54" t="s">
        <v>170</v>
      </c>
      <c r="BK6" s="54" t="s">
        <v>171</v>
      </c>
      <c r="BL6" s="11" t="s">
        <v>172</v>
      </c>
      <c r="BM6" s="54" t="s">
        <v>173</v>
      </c>
      <c r="BO6" s="54" t="s">
        <v>166</v>
      </c>
      <c r="BP6" s="28" t="s">
        <v>167</v>
      </c>
      <c r="BQ6" s="28" t="s">
        <v>168</v>
      </c>
      <c r="BR6" s="28" t="s">
        <v>169</v>
      </c>
      <c r="BS6" s="54" t="s">
        <v>170</v>
      </c>
      <c r="BT6" s="54" t="s">
        <v>166</v>
      </c>
      <c r="BU6" s="28" t="s">
        <v>167</v>
      </c>
      <c r="BV6" s="28" t="s">
        <v>168</v>
      </c>
      <c r="BW6" s="28" t="s">
        <v>169</v>
      </c>
      <c r="BX6" s="54" t="s">
        <v>170</v>
      </c>
      <c r="BY6" s="54" t="s">
        <v>166</v>
      </c>
      <c r="BZ6" s="28" t="s">
        <v>167</v>
      </c>
      <c r="CA6" s="28" t="s">
        <v>168</v>
      </c>
      <c r="CB6" s="28" t="s">
        <v>169</v>
      </c>
      <c r="CC6" s="54" t="s">
        <v>170</v>
      </c>
      <c r="CD6" s="54" t="s">
        <v>166</v>
      </c>
      <c r="CE6" s="28" t="s">
        <v>167</v>
      </c>
      <c r="CF6" s="28" t="s">
        <v>168</v>
      </c>
      <c r="CG6" s="28" t="s">
        <v>169</v>
      </c>
      <c r="CH6" s="54" t="s">
        <v>170</v>
      </c>
      <c r="CI6" s="54" t="s">
        <v>166</v>
      </c>
      <c r="CJ6" s="28" t="s">
        <v>167</v>
      </c>
      <c r="CK6" s="28" t="s">
        <v>168</v>
      </c>
      <c r="CL6" s="28" t="s">
        <v>169</v>
      </c>
      <c r="CM6" s="54" t="s">
        <v>170</v>
      </c>
      <c r="CN6" s="54" t="s">
        <v>166</v>
      </c>
      <c r="CO6" s="28" t="s">
        <v>167</v>
      </c>
      <c r="CP6" s="28" t="s">
        <v>168</v>
      </c>
      <c r="CQ6" s="28" t="s">
        <v>169</v>
      </c>
      <c r="CR6" s="54" t="s">
        <v>170</v>
      </c>
      <c r="CS6" s="28" t="s">
        <v>166</v>
      </c>
      <c r="CT6" s="28" t="s">
        <v>167</v>
      </c>
      <c r="CU6" s="28" t="s">
        <v>168</v>
      </c>
      <c r="CV6" s="28" t="s">
        <v>169</v>
      </c>
      <c r="CW6" s="54" t="s">
        <v>170</v>
      </c>
      <c r="CX6" s="54" t="s">
        <v>166</v>
      </c>
      <c r="CY6" s="28" t="s">
        <v>167</v>
      </c>
      <c r="CZ6" s="28" t="s">
        <v>168</v>
      </c>
      <c r="DA6" s="28" t="s">
        <v>169</v>
      </c>
      <c r="DB6" s="54" t="s">
        <v>170</v>
      </c>
      <c r="DC6" s="54" t="s">
        <v>166</v>
      </c>
      <c r="DD6" s="28" t="s">
        <v>167</v>
      </c>
      <c r="DE6" s="28" t="s">
        <v>168</v>
      </c>
      <c r="DF6" s="28" t="s">
        <v>169</v>
      </c>
      <c r="DG6" s="54" t="s">
        <v>170</v>
      </c>
      <c r="DH6" s="54" t="s">
        <v>166</v>
      </c>
      <c r="DI6" s="28" t="s">
        <v>167</v>
      </c>
      <c r="DJ6" s="28" t="s">
        <v>168</v>
      </c>
      <c r="DK6" s="28" t="s">
        <v>169</v>
      </c>
      <c r="DL6" s="54" t="s">
        <v>170</v>
      </c>
      <c r="DM6" s="54" t="s">
        <v>166</v>
      </c>
      <c r="DN6" s="28" t="s">
        <v>167</v>
      </c>
      <c r="DO6" s="28" t="s">
        <v>168</v>
      </c>
      <c r="DP6" s="28" t="s">
        <v>169</v>
      </c>
      <c r="DQ6" s="54" t="s">
        <v>170</v>
      </c>
      <c r="DR6" s="54" t="s">
        <v>166</v>
      </c>
      <c r="DS6" s="28" t="s">
        <v>167</v>
      </c>
      <c r="DT6" s="28" t="s">
        <v>168</v>
      </c>
      <c r="DU6" s="28" t="s">
        <v>169</v>
      </c>
      <c r="DV6" s="54" t="s">
        <v>170</v>
      </c>
      <c r="DW6" s="54" t="s">
        <v>166</v>
      </c>
      <c r="DX6" s="28" t="s">
        <v>167</v>
      </c>
      <c r="DY6" s="28" t="s">
        <v>168</v>
      </c>
      <c r="DZ6" s="28" t="s">
        <v>169</v>
      </c>
      <c r="EA6" s="54" t="s">
        <v>170</v>
      </c>
      <c r="EB6" s="54" t="s">
        <v>171</v>
      </c>
      <c r="EC6" s="11" t="s">
        <v>172</v>
      </c>
      <c r="ED6" s="54" t="s">
        <v>173</v>
      </c>
    </row>
    <row r="7" spans="1:134" ht="19.5" customHeight="1" thickBot="1" x14ac:dyDescent="0.4">
      <c r="A7" s="77"/>
      <c r="B7" s="23" t="s">
        <v>158</v>
      </c>
      <c r="C7" s="34">
        <v>0</v>
      </c>
      <c r="D7" s="34">
        <v>6.0880000000000001</v>
      </c>
      <c r="E7" s="21">
        <f t="shared" si="0"/>
        <v>0</v>
      </c>
      <c r="F7" s="44">
        <v>0</v>
      </c>
      <c r="G7" s="55">
        <v>0</v>
      </c>
      <c r="H7" s="38"/>
      <c r="I7" s="23" t="s">
        <v>174</v>
      </c>
      <c r="J7" s="40">
        <v>3</v>
      </c>
      <c r="K7" s="84"/>
      <c r="L7" s="58">
        <f>G7</f>
        <v>0</v>
      </c>
      <c r="M7" s="47">
        <v>2024</v>
      </c>
      <c r="N7" s="21">
        <f>F5</f>
        <v>0.17532949693707073</v>
      </c>
      <c r="O7" s="18">
        <f>D5</f>
        <v>342.16899999999998</v>
      </c>
      <c r="P7" s="18">
        <f t="shared" ref="P7:P34" si="1">O7*(N7)/((1-N$7)*J$5+N$7)</f>
        <v>14.958756075261876</v>
      </c>
      <c r="Q7" s="18">
        <f t="shared" ref="Q7:Q34" si="2">O7*(1-E$5)*(1-N7)/(1-N$7)+P7</f>
        <v>344.22775607526188</v>
      </c>
      <c r="R7" s="21">
        <f t="shared" ref="R7:R34" si="3">P7/Q7</f>
        <v>4.3455984624294203E-2</v>
      </c>
      <c r="S7" s="21">
        <f>F6</f>
        <v>8.9999999999999993E-3</v>
      </c>
      <c r="T7" s="18">
        <f>D6</f>
        <v>23614.85</v>
      </c>
      <c r="U7" s="18">
        <f t="shared" ref="U7:U34" si="4">T7*(S7)/((1-S$7)*$J$6+(S$7))</f>
        <v>85.475025135732949</v>
      </c>
      <c r="V7" s="18">
        <f t="shared" ref="V7:V34" si="5">T7*(1-E$6)*(1-S7)/(1-S$7)+U7</f>
        <v>23615.625025135734</v>
      </c>
      <c r="W7" s="21">
        <f t="shared" ref="W7:W34" si="6">U7/V7</f>
        <v>3.6194267585446501E-3</v>
      </c>
      <c r="X7" s="21">
        <f>F7</f>
        <v>0</v>
      </c>
      <c r="Y7" s="18">
        <f>$D7</f>
        <v>6.0880000000000001</v>
      </c>
      <c r="Z7" s="18">
        <f t="shared" ref="Z7:Z34" si="7">Y7*(X7)/((1-X$7)*$J$7+(X$7))</f>
        <v>0</v>
      </c>
      <c r="AA7" s="18">
        <f t="shared" ref="AA7:AA34" si="8">Y7*(1-$E$7)*(1-X7)/(1-X$7)+Z7</f>
        <v>6.0880000000000001</v>
      </c>
      <c r="AB7" s="21">
        <f t="shared" ref="AB7:AB34" si="9">Z7/AA7</f>
        <v>0</v>
      </c>
      <c r="AC7" s="21">
        <f>F8</f>
        <v>0</v>
      </c>
      <c r="AD7" s="18">
        <f>$D8</f>
        <v>28.606999999999999</v>
      </c>
      <c r="AE7" s="18">
        <f t="shared" ref="AE7:AE34" si="10">AD7*(AC7)/((1-AC$7)*$J$8+(AC$7))</f>
        <v>0</v>
      </c>
      <c r="AF7" s="18">
        <f t="shared" ref="AF7:AF34" si="11">AD7*(1-$E$8)*(1-AC7)/(1-AC$7)+AE7</f>
        <v>28.606999999999999</v>
      </c>
      <c r="AG7" s="21">
        <f t="shared" ref="AG7:AG34" si="12">AE7/AF7</f>
        <v>0</v>
      </c>
      <c r="AH7" s="21">
        <f t="shared" ref="AH7:AH34" si="13">SUM(P7,U7,Z7,AE7)/SUM(Q7,V7,AA7,AF7)</f>
        <v>4.1856917715965376E-3</v>
      </c>
      <c r="AI7" s="18">
        <f t="shared" ref="AI7:AI34" si="14">SUM(O7,T7,Y7,AD7) - SUM(Q7,V7,AA7,AF7)</f>
        <v>-2.8337812109966762</v>
      </c>
      <c r="AJ7" s="21">
        <f t="shared" ref="AJ7:AJ34" si="15">AI7/SUM(O7,T7,Y7,AD7)</f>
        <v>-1.1811499632734353E-4</v>
      </c>
      <c r="AL7" s="21">
        <f>$F9</f>
        <v>7.4662190463954378E-2</v>
      </c>
      <c r="AM7" s="18">
        <f>LIT_FEC!$B134*$D$9/SUM($D$9:$D$13)</f>
        <v>15887.491530623682</v>
      </c>
      <c r="AN7" s="18">
        <f t="shared" ref="AN7:AN34" si="16">AM7*AL7/(AL$7+(1-AL$7)*$J$9)</f>
        <v>496.73014382607278</v>
      </c>
      <c r="AO7" s="18">
        <f t="shared" ref="AO7:AO34" si="17">AM7*(1-$E$9)*(1-AL7)/(1-AL$7)+AN7</f>
        <v>15887.491530623682</v>
      </c>
      <c r="AP7" s="21">
        <f t="shared" ref="AP7:AP34" si="18">AN7/AO7</f>
        <v>3.1265485987426553E-2</v>
      </c>
      <c r="AQ7" s="21">
        <f>$F10</f>
        <v>1</v>
      </c>
      <c r="AR7" s="18">
        <f>LIT_FEC!$B134*$D$10/SUM($D$9:$D$13)</f>
        <v>33.200426005941615</v>
      </c>
      <c r="AS7" s="18">
        <f t="shared" ref="AS7:AS34" si="19">AR7*(AQ7)/((1-AQ$7)*$J$10+(AQ$7))</f>
        <v>33.200426005941615</v>
      </c>
      <c r="AT7" s="18">
        <f t="shared" ref="AT7:AT34" si="20">IF(AQ7=100%,AS7,AR7*(1-$E$10)*(1-AQ7)/(1-AQ$7)+AS7)</f>
        <v>33.200426005941615</v>
      </c>
      <c r="AU7" s="21">
        <f t="shared" ref="AU7:AU34" si="21">IF(AT7=0,0,AS7/AT7)</f>
        <v>1</v>
      </c>
      <c r="AV7" s="18">
        <f>$F11</f>
        <v>0.37224965048760073</v>
      </c>
      <c r="AW7" s="18">
        <f>LIT_FEC!$B134*$D$11/SUM($D$9:$D$13)</f>
        <v>2870.1282639051201</v>
      </c>
      <c r="AX7" s="65">
        <f t="shared" ref="AX7:AX34" si="22">AW7*(AV7)/((1-AV$7)*$J$11+(AV$7))</f>
        <v>550.26277196048295</v>
      </c>
      <c r="AY7" s="18">
        <f t="shared" ref="AY7:AY34" si="23">AW7*(1-$E$11)*(1-AV7)/(1-AV$7)+AX7</f>
        <v>2870.1282639051201</v>
      </c>
      <c r="AZ7" s="21">
        <f t="shared" ref="AZ7:AZ34" si="24">IF(AY7=0,0,AX7/AY7)</f>
        <v>0.19172062060104272</v>
      </c>
      <c r="BA7" s="18">
        <f>$F12</f>
        <v>0.25588321541084624</v>
      </c>
      <c r="BB7" s="18">
        <f>LIT_FEC!$B134*$D$12/SUM($D$9:$D$13)</f>
        <v>1515.885848687763</v>
      </c>
      <c r="BC7" s="65">
        <f t="shared" ref="BC7:BC34" si="25">BB7*(BA7)/((1-BA$7)*$J$12+(BA$7))</f>
        <v>387.88974515802431</v>
      </c>
      <c r="BD7" s="18">
        <f t="shared" ref="BD7:BD34" si="26">BB7*(1-$E$12)*(1-BA7)/(1-BA$7)+BC7</f>
        <v>1515.885848687763</v>
      </c>
      <c r="BE7" s="21">
        <f t="shared" ref="BE7:BE34" si="27">IF(BD7=0,0,BC7/BD7)</f>
        <v>0.25588321541084624</v>
      </c>
      <c r="BF7" s="18">
        <f>$F13</f>
        <v>1</v>
      </c>
      <c r="BG7" s="18">
        <f>LIT_FEC!$B134*$D$13/SUM($D$9:$D$13)</f>
        <v>4530.2939307774923</v>
      </c>
      <c r="BH7" s="18">
        <f t="shared" ref="BH7:BH34" si="28">BG7*BF7/(BF$7+(1-BF$7)*$J$13)</f>
        <v>4530.2939307774923</v>
      </c>
      <c r="BI7" s="18">
        <f t="shared" ref="BI7:BI34" si="29">IF(BF7=1,BH7,BG7*(1-$E$13)*(1-BF7)/(1-BF$7)+BH7)</f>
        <v>4530.2939307774923</v>
      </c>
      <c r="BJ7" s="21">
        <f t="shared" ref="BJ7:BJ34" si="30">IF(BI7=0,0,BH7/BI7)</f>
        <v>1</v>
      </c>
      <c r="BK7" s="21">
        <f t="shared" ref="BK7:BK34" si="31">SUM(AS7,AX7,BC7,BH7,AN7)/SUM(AT7,AY7,BD7,BI7,AO7)</f>
        <v>0.24150972411031985</v>
      </c>
      <c r="BL7" s="18">
        <f t="shared" ref="BL7:BL34" si="32">SUM(AM7,AR7,AW7,BB7,BG7) - SUM(AO7,AT7,AY7,BD7,BI7)</f>
        <v>0</v>
      </c>
      <c r="BM7" s="21">
        <f t="shared" ref="BM7:BM34" si="33">BL7/SUM(AM7,AR7,AW7,BB7,BG7)</f>
        <v>0</v>
      </c>
      <c r="BO7" s="21">
        <f>$F14</f>
        <v>1.0000000000000002</v>
      </c>
      <c r="BP7" s="18">
        <f>LIT_FEC!$B81*$D$14/SUM($D$14:D$26)</f>
        <v>17.964542776629205</v>
      </c>
      <c r="BQ7" s="18">
        <f t="shared" ref="BQ7:BQ34" si="34">BP7*BO7/(BO$7+(1-BO$7)*$J$14)</f>
        <v>17.964542776629212</v>
      </c>
      <c r="BR7" s="18">
        <f t="shared" ref="BR7:BR34" si="35">IF(BO7=1,BQ7,BP7*(1-$E$14)*(1-BO7)/(1-BO$7)+BQ7)</f>
        <v>17.964542776629212</v>
      </c>
      <c r="BS7" s="21">
        <f t="shared" ref="BS7:BS34" si="36">IF(BR7=0,0,BQ7/BR7)</f>
        <v>1</v>
      </c>
      <c r="BT7" s="21">
        <f>$F15</f>
        <v>0.28131125542146357</v>
      </c>
      <c r="BU7" s="18">
        <f>LIT_FEC!$B81*$D$15/SUM($D$14:D$26)</f>
        <v>2698.5093834949926</v>
      </c>
      <c r="BV7" s="18">
        <f t="shared" ref="BV7:BV34" si="37">BU7*BT7/(BT$7+(1-BT$7)*$J$15)</f>
        <v>527.04929728249965</v>
      </c>
      <c r="BW7" s="18">
        <f t="shared" ref="BW7:BW34" si="38">BU7*(1-$E$15)*(1-BT7)/(1-BT$7)+BV7</f>
        <v>2698.5093834949926</v>
      </c>
      <c r="BX7" s="21">
        <f t="shared" ref="BX7:BX34" si="39">IF(BW7=0,0,BV7/BW7)</f>
        <v>0.19531127092094386</v>
      </c>
      <c r="BY7" s="21">
        <f>$F16</f>
        <v>0</v>
      </c>
      <c r="BZ7" s="18">
        <f>LIT_FEC!$B81*$D$16/SUM($D$14:D$26)</f>
        <v>0</v>
      </c>
      <c r="CA7" s="18">
        <f t="shared" ref="CA7:CA34" si="40">BZ7*BY7/(BY$7+(1-BY$7)*$J$16)</f>
        <v>0</v>
      </c>
      <c r="CB7" s="18">
        <f t="shared" ref="CB7:CB34" si="41">BZ7*(1-$E$16)*(1-BY7)/(1-BY$7)+CA7</f>
        <v>0</v>
      </c>
      <c r="CC7" s="21">
        <f t="shared" ref="CC7:CC34" si="42">IF(CB7=0,0,CA7/CB7)</f>
        <v>0</v>
      </c>
      <c r="CD7" s="21">
        <f>$F17</f>
        <v>0.2145536741128716</v>
      </c>
      <c r="CE7" s="18">
        <f>LIT_FEC!$B81*$D$17/SUM($D$14:D$26)</f>
        <v>1600.9705582277404</v>
      </c>
      <c r="CF7" s="18">
        <f t="shared" ref="CF7:CF34" si="43">CE7*CD7/(CD$7+(1-CD$7)*$J$17)</f>
        <v>242.38726373242983</v>
      </c>
      <c r="CG7" s="18">
        <f t="shared" ref="CG7:CG34" si="44">CE7*(1-$E$17)*(1-CD7)/(1-CD$7)+CF7</f>
        <v>1600.9705582277402</v>
      </c>
      <c r="CH7" s="21">
        <f t="shared" ref="CH7:CH34" si="45">IF(CG7=0,0,CF7/CG7)</f>
        <v>0.15140020063876147</v>
      </c>
      <c r="CI7" s="21">
        <f>$F18</f>
        <v>0.84637888073975243</v>
      </c>
      <c r="CJ7" s="18">
        <f>LIT_FEC!$B81*$D$18/SUM($D$14:D$26)</f>
        <v>75.508280196056788</v>
      </c>
      <c r="CK7" s="18">
        <f t="shared" ref="CK7:CK34" si="46">CJ7*CI7/(CI$7+(1-CI$7)*$J$18)</f>
        <v>56.753655040594751</v>
      </c>
      <c r="CL7" s="18">
        <f t="shared" ref="CL7:CL34" si="47">CJ7*(1-$E$18)*(1-CI7)/(1-CI$7)+CK7</f>
        <v>75.508280196056788</v>
      </c>
      <c r="CM7" s="21">
        <f t="shared" ref="CM7:CM34" si="48">IF(CL7=0,0,CK7/CL7)</f>
        <v>0.7516216088253399</v>
      </c>
      <c r="CN7" s="21">
        <f>$F19</f>
        <v>0.79584989450007171</v>
      </c>
      <c r="CO7" s="18">
        <f>LIT_FEC!$B81*$D$19/SUM($D$14:D$26)</f>
        <v>343.35067541212732</v>
      </c>
      <c r="CP7" s="18">
        <f t="shared" ref="CP7:CP34" si="49">CO7*CN7/(CN$7+(1-CN$7)*$J$19)</f>
        <v>232.91342525321255</v>
      </c>
      <c r="CQ7" s="18">
        <f t="shared" ref="CQ7:CQ34" si="50">CO7*(1-$E$19)*(1-CN7)/(1-CN$7)+CP7</f>
        <v>343.35067541212737</v>
      </c>
      <c r="CR7" s="21">
        <f t="shared" ref="CR7:CR34" si="51">IF(CQ7=0,0,CP7/CQ7)</f>
        <v>0.67835435294730129</v>
      </c>
      <c r="CS7" s="18">
        <f>$F20</f>
        <v>0.52791001904396195</v>
      </c>
      <c r="CT7" s="18">
        <f>LIT_FEC!$B81*$D$20/SUM($D$14:D$26)</f>
        <v>126.64019523341781</v>
      </c>
      <c r="CU7" s="18">
        <f t="shared" ref="CU7:CU34" si="52">CT7*CS7/(CS$7+(1-CS$7)*$J$20)</f>
        <v>36.107837222677595</v>
      </c>
      <c r="CV7" s="18">
        <f t="shared" ref="CV7:CV34" si="53">CT7*(1-$E$20)*(1-CS7)/(1-CS$7)+CU7</f>
        <v>126.64019523341781</v>
      </c>
      <c r="CW7" s="21">
        <f t="shared" ref="CW7:CW34" si="54">IF(CV7=0,0,CU7/CV7)</f>
        <v>0.28512145891851454</v>
      </c>
      <c r="CX7" s="21">
        <f>$F21</f>
        <v>0.56227151894906802</v>
      </c>
      <c r="CY7" s="18">
        <f>LIT_FEC!$B81*$D$21/SUM($D$14:D$26)</f>
        <v>2144.7706744515131</v>
      </c>
      <c r="CZ7" s="18">
        <f t="shared" ref="CZ7:CZ34" si="55">CY7*CX7/(CX$7+(1-CX$7)*$J$21)</f>
        <v>727.96617370967624</v>
      </c>
      <c r="DA7" s="18">
        <f t="shared" ref="DA7:DA34" si="56">CY7*(1-$E$21)*(1-CX7)/(1-CX$7)+CZ7</f>
        <v>2144.7706744515135</v>
      </c>
      <c r="DB7" s="21">
        <f t="shared" ref="DB7:DB34" si="57">IF(DA7=0,0,CZ7/DA7)</f>
        <v>0.33941445693061822</v>
      </c>
      <c r="DC7" s="21">
        <f>$F22</f>
        <v>0.59444274647444406</v>
      </c>
      <c r="DD7" s="18">
        <f>LIT_FEC!$B81*$D$22/SUM($D$14:D$26)</f>
        <v>521.11563561612945</v>
      </c>
      <c r="DE7" s="18">
        <f t="shared" ref="DE7:DE34" si="58">DD7*DC7/(DC$7+(1-DC$7)*$J$22)</f>
        <v>192.60492379918369</v>
      </c>
      <c r="DF7" s="18">
        <f t="shared" ref="DF7:DF34" si="59">DD7*(1-$E$22)*(1-DC7)/(1-DC$7)+DE7</f>
        <v>521.11563561612934</v>
      </c>
      <c r="DG7" s="21">
        <f t="shared" ref="DG7:DG34" si="60">IF(DF7=0,0,DE7/DF7)</f>
        <v>0.36960112235254966</v>
      </c>
      <c r="DH7" s="21">
        <f>$F23</f>
        <v>0.52549489063103771</v>
      </c>
      <c r="DI7" s="18">
        <f>LIT_FEC!$B81*$D$23/SUM($D$14:D$26)</f>
        <v>1130.7669730955865</v>
      </c>
      <c r="DJ7" s="45">
        <f t="shared" ref="DJ7:DJ34" si="61">DI7*DH7/(DH$7+(1-DH$7)*$J$23)</f>
        <v>347.13574201207882</v>
      </c>
      <c r="DK7" s="18">
        <f t="shared" ref="DK7:DK34" si="62">DI7*(1-$E$23)*(1-DH7)/(1-DH$7)+DJ7</f>
        <v>1130.7669730955868</v>
      </c>
      <c r="DL7" s="21">
        <f t="shared" ref="DL7:DL34" si="63">IF(DK7=0,0,DJ7/DK7)</f>
        <v>0.30699140518913487</v>
      </c>
      <c r="DM7" s="21">
        <f>$F24</f>
        <v>0.52812786965012748</v>
      </c>
      <c r="DN7" s="18">
        <f>LIT_FEC!$B81*$D$24/SUM($D$14:D$26)</f>
        <v>434.81879841227698</v>
      </c>
      <c r="DO7" s="18">
        <f t="shared" ref="DO7:DO34" si="64">DN7*DM7/(DM$7+(1-DM$7)*$J$24)</f>
        <v>124.05365857692206</v>
      </c>
      <c r="DP7" s="18">
        <f t="shared" ref="DP7:DP34" si="65">DN7*(1-$E$24)*(1-DM7)/(1-DM$7)+DO7</f>
        <v>434.81879841227692</v>
      </c>
      <c r="DQ7" s="21">
        <f t="shared" ref="DQ7:DQ34" si="66">IF(DP7=0,0,DO7/DP7)</f>
        <v>0.28529966742445112</v>
      </c>
      <c r="DR7" s="21">
        <f>$F25</f>
        <v>0.72940942302429146</v>
      </c>
      <c r="DS7" s="18">
        <f>LIT_FEC!$B81*$D$25/SUM($D$14:D$26)</f>
        <v>303.01536120768566</v>
      </c>
      <c r="DT7" s="18">
        <f t="shared" ref="DT7:DT34" si="67">DS7*DR7/(DR$7+(1-DR$7)*$J$25)</f>
        <v>157.21209325418292</v>
      </c>
      <c r="DU7" s="18">
        <f t="shared" ref="DU7:DU34" si="68">DS7*(1-$E$25)*(1-DR7)/(1-DR$7)+DT7</f>
        <v>303.01536120768571</v>
      </c>
      <c r="DV7" s="21">
        <f t="shared" ref="DV7:DV34" si="69">IF(DU7=0,0,DT7/DU7)</f>
        <v>0.51882548999365841</v>
      </c>
      <c r="DW7" s="21">
        <f>$F26</f>
        <v>0.79851425820023492</v>
      </c>
      <c r="DX7" s="18">
        <f>LIT_FEC!$B81*$D$26/SUM($D$14:D$26)</f>
        <v>762.5689218758439</v>
      </c>
      <c r="DY7" s="18">
        <f t="shared" ref="DY7:DY34" si="70">DX7*DW7/(DW$7+(1-DW$7)*$J$26)</f>
        <v>508.90600283645131</v>
      </c>
      <c r="DZ7" s="18">
        <f t="shared" ref="DZ7:DZ34" si="71">DX7*(1-$E$26)*(1-DW7)/(1-DW$7)+DY7</f>
        <v>762.56892187584413</v>
      </c>
      <c r="EA7" s="21">
        <f t="shared" ref="EA7:EA34" si="72">IF(DZ7=0,0,DY7/DZ7)</f>
        <v>0.66735738664066313</v>
      </c>
      <c r="EB7" s="21">
        <f t="shared" ref="EB7:EB34" si="73">SUM(DJ7,DO7,DT7,DY7,DE7,CZ7,CU7,CP7,CK7,CF7,CA7,BV7,BQ7,)/SUM(DK7,DP7,DU7,DZ7,DF7,DA7,CV7,CQ7,CL7,CG7,CB7,BW7,BR7)</f>
        <v>0.31211167475359625</v>
      </c>
      <c r="EC7" s="18">
        <f t="shared" ref="EC7:EC34" si="74">SUM(BP7,BU7,BZ7,CE7,CJ7,CO7,CT7,CY7,DD7,DI7,DN7,DS7,DX7) - SUM(BR7,BW7,CB7,CG7,CL7,CQ7,CV7,DA7,DF7,DK7,DP7,DU7,DZ7)</f>
        <v>0</v>
      </c>
      <c r="ED7" s="21">
        <f t="shared" ref="ED7:ED34" si="75">EC7/SUM(BP7,BU7,BZ7,CE7,CJ7,CO7,CT7,CY7,DD7,DI7,DN7,DS7,DX7)</f>
        <v>0</v>
      </c>
    </row>
    <row r="8" spans="1:134" ht="19.5" customHeight="1" thickBot="1" x14ac:dyDescent="0.4">
      <c r="A8" s="77"/>
      <c r="B8" s="23" t="s">
        <v>175</v>
      </c>
      <c r="C8" s="34">
        <v>0</v>
      </c>
      <c r="D8" s="34">
        <v>28.606999999999999</v>
      </c>
      <c r="E8" s="21">
        <f t="shared" si="0"/>
        <v>0</v>
      </c>
      <c r="F8" s="44">
        <v>0</v>
      </c>
      <c r="G8" s="55">
        <v>0</v>
      </c>
      <c r="H8" s="38"/>
      <c r="I8" s="23" t="s">
        <v>176</v>
      </c>
      <c r="J8" s="40">
        <v>3</v>
      </c>
      <c r="K8" s="84"/>
      <c r="L8" s="58">
        <f>G8</f>
        <v>0</v>
      </c>
      <c r="M8" s="47">
        <f t="shared" ref="M8:M34" si="76">M7+1</f>
        <v>2025</v>
      </c>
      <c r="N8" s="21">
        <f t="shared" ref="N8:N34" si="77">N$7+(G$5-F$5)*1/(1+EXP(-$K$5*($M7-($M$7+($M$34-$M$7)/2))))</f>
        <v>0.1877387787744455</v>
      </c>
      <c r="O8" s="18">
        <f>LIT_FEC!B188*D$5/SUM(D$5:D$8)</f>
        <v>366.54677815015629</v>
      </c>
      <c r="P8" s="18">
        <f t="shared" si="1"/>
        <v>17.158654445563489</v>
      </c>
      <c r="Q8" s="18">
        <f t="shared" si="2"/>
        <v>364.57868127407824</v>
      </c>
      <c r="R8" s="21">
        <f t="shared" si="3"/>
        <v>4.7064338445681572E-2</v>
      </c>
      <c r="S8" s="21">
        <f t="shared" ref="S8:S34" si="78">S$7+(G$6-F$6)*1/(1+EXP(-$K$5*($M7-($M$7+($M$34-$M$7)/2))))</f>
        <v>2.2545110352740642E-2</v>
      </c>
      <c r="T8" s="18">
        <f>LIT_FEC!B188*D$6/SUM(D$5:D$8)</f>
        <v>25297.286381873339</v>
      </c>
      <c r="U8" s="18">
        <f t="shared" si="4"/>
        <v>229.37064673405089</v>
      </c>
      <c r="V8" s="18">
        <f t="shared" si="5"/>
        <v>25091.396325981728</v>
      </c>
      <c r="W8" s="21">
        <f t="shared" si="6"/>
        <v>9.1414062316070212E-3</v>
      </c>
      <c r="X8" s="21">
        <f t="shared" ref="X8:X34" si="79">X$7+(G$7-F$7)*1/(1+EXP(-$K$5*($M7-($M$7+($M$34-$M$7)/2))))</f>
        <v>0</v>
      </c>
      <c r="Y8" s="18">
        <f>LIT_FEC!$B188*$D$7/SUM($D$5:$D$8)</f>
        <v>6.5217386302620977</v>
      </c>
      <c r="Z8" s="18">
        <f t="shared" si="7"/>
        <v>0</v>
      </c>
      <c r="AA8" s="18">
        <f t="shared" si="8"/>
        <v>6.5217386302620977</v>
      </c>
      <c r="AB8" s="21">
        <f t="shared" si="9"/>
        <v>0</v>
      </c>
      <c r="AC8" s="21">
        <f t="shared" ref="AC8:AC34" si="80">AC$7+($L$8-$F$8)*1/(1+EXP(-$K$5*($M7-($M$7+($M$34-$M$7)/2))))</f>
        <v>0</v>
      </c>
      <c r="AD8" s="18">
        <f>LIT_FEC!$B188*$D$8/SUM($D$5:$D$8)</f>
        <v>30.645101346239787</v>
      </c>
      <c r="AE8" s="18">
        <f t="shared" si="10"/>
        <v>0</v>
      </c>
      <c r="AF8" s="18">
        <f t="shared" si="11"/>
        <v>30.645101346239787</v>
      </c>
      <c r="AG8" s="21">
        <f t="shared" si="12"/>
        <v>0</v>
      </c>
      <c r="AH8" s="21">
        <f t="shared" si="13"/>
        <v>9.6704165636758953E-3</v>
      </c>
      <c r="AI8" s="18">
        <f t="shared" si="14"/>
        <v>207.85815276769063</v>
      </c>
      <c r="AJ8" s="21">
        <f t="shared" si="15"/>
        <v>8.0875511757398794E-3</v>
      </c>
      <c r="AL8" s="21">
        <f t="shared" ref="AL8:AL34" si="81">AL$7+($L$9-$F$9)*1/(1+EXP(-$K$5*($M7-($M$7+($M$34-$M$7)/2))))</f>
        <v>8.678311514198378E-2</v>
      </c>
      <c r="AM8" s="18">
        <f>LIT_FEC!$B135*$D$9/SUM($D$9:$D$13)</f>
        <v>16809.25644972135</v>
      </c>
      <c r="AN8" s="18">
        <f t="shared" si="16"/>
        <v>610.86915258210422</v>
      </c>
      <c r="AO8" s="18">
        <f t="shared" si="17"/>
        <v>16681.277078829928</v>
      </c>
      <c r="AP8" s="21">
        <f t="shared" si="18"/>
        <v>3.6620047116018073E-2</v>
      </c>
      <c r="AQ8" s="21">
        <f t="shared" ref="AQ8:AQ34" si="82">AQ$7+($L$10-$F$10)*1/(1+EXP(-$K$5*($M7-($M$7+($M$34-$M$7)/2))))</f>
        <v>1</v>
      </c>
      <c r="AR8" s="18">
        <f>LIT_FEC!$B135*$D$10/SUM($D$9:$D$13)</f>
        <v>35.126657590857739</v>
      </c>
      <c r="AS8" s="18">
        <f t="shared" si="19"/>
        <v>35.126657590857739</v>
      </c>
      <c r="AT8" s="18">
        <f t="shared" si="20"/>
        <v>35.126657590857739</v>
      </c>
      <c r="AU8" s="21">
        <f t="shared" si="21"/>
        <v>1</v>
      </c>
      <c r="AV8" s="18">
        <f t="shared" ref="AV8:AV34" si="83">AV$7+($L$11-$F$11)*1/(1+EXP(-$K$5*($M7-($M$7+($M$34-$M$7)/2))))</f>
        <v>0.37927467758584243</v>
      </c>
      <c r="AW8" s="18">
        <f>LIT_FEC!$B135*$D$11/SUM($D$9:$D$13)</f>
        <v>3036.6481668035085</v>
      </c>
      <c r="AX8" s="65">
        <f t="shared" si="22"/>
        <v>593.1750175358294</v>
      </c>
      <c r="AY8" s="18">
        <f t="shared" si="23"/>
        <v>3020.1677471296452</v>
      </c>
      <c r="AZ8" s="21">
        <f t="shared" si="24"/>
        <v>0.19640465934370052</v>
      </c>
      <c r="BA8" s="18">
        <f t="shared" ref="BA8:BA34" si="84">BA$7+($L$12-$F$12)*1/(1+EXP(-$K$5*($M7-($M$7+($M$34-$M$7)/2))))</f>
        <v>0.2686254960209431</v>
      </c>
      <c r="BB8" s="18">
        <f>LIT_FEC!$B135*$D$12/SUM($D$9:$D$13)</f>
        <v>1603.8349370623278</v>
      </c>
      <c r="BC8" s="18">
        <f t="shared" si="25"/>
        <v>430.83095550408586</v>
      </c>
      <c r="BD8" s="18">
        <f t="shared" si="26"/>
        <v>1603.8349370623278</v>
      </c>
      <c r="BE8" s="21">
        <f t="shared" si="27"/>
        <v>0.2686254960209431</v>
      </c>
      <c r="BF8" s="18">
        <f t="shared" ref="BF8:BF34" si="85">BF$7+($L$13-$F$13)*1/(1+EXP(-$K$5*($M7-($M$7+($M$34-$M$7)/2))))</f>
        <v>1</v>
      </c>
      <c r="BG8" s="18">
        <f>LIT_FEC!$B135*$D$13/SUM($D$9:$D$13)</f>
        <v>4793.1337888219568</v>
      </c>
      <c r="BH8" s="18">
        <f t="shared" si="28"/>
        <v>4793.1337888219568</v>
      </c>
      <c r="BI8" s="18">
        <f t="shared" si="29"/>
        <v>4793.1337888219568</v>
      </c>
      <c r="BJ8" s="21">
        <f t="shared" si="30"/>
        <v>1</v>
      </c>
      <c r="BK8" s="21">
        <f t="shared" si="31"/>
        <v>0.24731190340991444</v>
      </c>
      <c r="BL8" s="18">
        <f t="shared" si="32"/>
        <v>144.45979056528449</v>
      </c>
      <c r="BM8" s="21">
        <f t="shared" si="33"/>
        <v>5.4973662594293505E-3</v>
      </c>
      <c r="BO8" s="21">
        <f t="shared" ref="BO8:BO34" si="86">BO$7+($L$14-$F$14)*1/(1+EXP(-$K$5*($M7-($M$7+($M$34-$M$7)/2))))</f>
        <v>1.0000000000000002</v>
      </c>
      <c r="BP8" s="18">
        <f>LIT_FEC!$B82*$D$14/SUM($D$14:$D$26)</f>
        <v>19.329565121467564</v>
      </c>
      <c r="BQ8" s="18">
        <f t="shared" si="34"/>
        <v>19.329565121467571</v>
      </c>
      <c r="BR8" s="18">
        <f t="shared" si="35"/>
        <v>19.329565121467571</v>
      </c>
      <c r="BS8" s="21">
        <f t="shared" si="36"/>
        <v>1</v>
      </c>
      <c r="BT8" s="21">
        <f t="shared" ref="BT8:BT34" si="87">BT$7+($L$15-$F$15)*1/(1+EXP(-$K$5*($M7-($M$7+($M$34-$M$7)/2))))</f>
        <v>0.28904670608047178</v>
      </c>
      <c r="BU8" s="18">
        <f>LIT_FEC!$B82*$D$15/SUM($D$14:$D$26)</f>
        <v>2903.5536004298483</v>
      </c>
      <c r="BV8" s="18">
        <f t="shared" si="37"/>
        <v>582.69067692981503</v>
      </c>
      <c r="BW8" s="18">
        <f t="shared" si="38"/>
        <v>2893.9995860934223</v>
      </c>
      <c r="BX8" s="21">
        <f t="shared" si="39"/>
        <v>0.20134442303648795</v>
      </c>
      <c r="BY8" s="21">
        <f t="shared" ref="BY8:BY34" si="88">BY$7+($L$16-$F$16)*1/(1+EXP(-$K$5*($M7-($M$7+($M$34-$M$7)/2))))</f>
        <v>1.6475704226863123E-2</v>
      </c>
      <c r="BZ8" s="18">
        <f>LIT_FEC!$B82*$D$16/SUM($D$14:$D$26)</f>
        <v>0</v>
      </c>
      <c r="CA8" s="18">
        <f t="shared" si="40"/>
        <v>0</v>
      </c>
      <c r="CB8" s="18">
        <f t="shared" si="41"/>
        <v>0</v>
      </c>
      <c r="CC8" s="21">
        <f t="shared" si="42"/>
        <v>0</v>
      </c>
      <c r="CD8" s="21">
        <f t="shared" ref="CD8:CD34" si="89">CD$7+($L$17-$F$17)*1/(1+EXP(-$K$5*($M7-($M$7+($M$34-$M$7)/2))))</f>
        <v>0.21824145200453771</v>
      </c>
      <c r="CE8" s="18">
        <f>LIT_FEC!$B82*$D$17/SUM($D$14:D$26)</f>
        <v>1722.6191085182736</v>
      </c>
      <c r="CF8" s="18">
        <f t="shared" si="43"/>
        <v>265.28762857417161</v>
      </c>
      <c r="CG8" s="18">
        <f t="shared" si="44"/>
        <v>1720.238440760101</v>
      </c>
      <c r="CH8" s="21">
        <f t="shared" si="45"/>
        <v>0.15421561470103654</v>
      </c>
      <c r="CI8" s="21">
        <f t="shared" ref="CI8:CI34" si="90">CI$7+($L$18-$F$18)*1/(1+EXP(-$K$5*($M7-($M$7+($M$34-$M$7)/2))))</f>
        <v>0.8469420314316034</v>
      </c>
      <c r="CJ8" s="18">
        <f>LIT_FEC!$B82*$D$18/SUM($D$14:D$26)</f>
        <v>81.245720384182377</v>
      </c>
      <c r="CK8" s="18">
        <f t="shared" si="46"/>
        <v>61.106670256553265</v>
      </c>
      <c r="CL8" s="18">
        <f t="shared" si="47"/>
        <v>81.212376059856695</v>
      </c>
      <c r="CM8" s="21">
        <f t="shared" si="48"/>
        <v>0.75243051885977652</v>
      </c>
      <c r="CN8" s="21">
        <f t="shared" ref="CN8:CN34" si="91">CN$7+($L$19-$F$19)*1/(1+EXP(-$K$5*($M7-($M$7+($M$34-$M$7)/2))))</f>
        <v>0.79847607114511965</v>
      </c>
      <c r="CO8" s="18">
        <f>LIT_FEC!$B82*$D$19/SUM($D$14:D$26)</f>
        <v>369.43991964619835</v>
      </c>
      <c r="CP8" s="18">
        <f t="shared" si="49"/>
        <v>251.43815422169905</v>
      </c>
      <c r="CQ8" s="18">
        <f t="shared" si="50"/>
        <v>368.73828928860758</v>
      </c>
      <c r="CR8" s="21">
        <f t="shared" si="51"/>
        <v>0.68188783623959659</v>
      </c>
      <c r="CS8" s="18">
        <f t="shared" ref="CS8:CS34" si="92">CS$7+($L$20-$F$20)*1/(1+EXP(-$K$5*($M7-($M$7+($M$34-$M$7)/2))))</f>
        <v>0.5349801182352143</v>
      </c>
      <c r="CT8" s="18">
        <f>LIT_FEC!$B82*$D$20/SUM($D$14:D$26)</f>
        <v>136.26285573737437</v>
      </c>
      <c r="CU8" s="18">
        <f t="shared" si="52"/>
        <v>39.371787188160937</v>
      </c>
      <c r="CV8" s="18">
        <f t="shared" si="53"/>
        <v>135.32432926974718</v>
      </c>
      <c r="CW8" s="21">
        <f t="shared" si="54"/>
        <v>0.29094389309463814</v>
      </c>
      <c r="CX8" s="21">
        <f t="shared" ref="CX8:CX34" si="93">CX$7+($L$21-$F$21)*1/(1+EXP(-$K$5*($M7-($M$7+($M$34-$M$7)/2))))</f>
        <v>0.56715862094213387</v>
      </c>
      <c r="CY8" s="18">
        <f>LIT_FEC!$B82*$D$21/SUM($D$14:D$26)</f>
        <v>2307.7394697936948</v>
      </c>
      <c r="CZ8" s="18">
        <f t="shared" si="55"/>
        <v>790.08818409900391</v>
      </c>
      <c r="DA8" s="18">
        <f t="shared" si="56"/>
        <v>2297.5274019612589</v>
      </c>
      <c r="DB8" s="21">
        <f t="shared" si="57"/>
        <v>0.34388629420678679</v>
      </c>
      <c r="DC8" s="21">
        <f t="shared" ref="DC8:DC34" si="94">DC$7+($L$22-$F$22)*1/(1+EXP(-$K$5*($M7-($M$7+($M$34-$M$7)/2))))</f>
        <v>0.60025846525355442</v>
      </c>
      <c r="DD8" s="18">
        <f>LIT_FEC!$B82*$D$22/SUM($D$14:D$26)</f>
        <v>560.71221737751239</v>
      </c>
      <c r="DE8" s="18">
        <f t="shared" si="58"/>
        <v>209.26739195273319</v>
      </c>
      <c r="DF8" s="18">
        <f t="shared" si="59"/>
        <v>557.67092673768548</v>
      </c>
      <c r="DG8" s="21">
        <f t="shared" si="60"/>
        <v>0.37525246865014961</v>
      </c>
      <c r="DH8" s="21">
        <f t="shared" ref="DH8:DH34" si="95">DH$7+($L$23-$F$23)*1/(1+EXP(-$K$5*($M7-($M$7+($M$34-$M$7)/2))))</f>
        <v>0.52613565511885796</v>
      </c>
      <c r="DI8" s="18">
        <f>LIT_FEC!$B82*$D$23/SUM($D$14:D$26)</f>
        <v>1216.687455696944</v>
      </c>
      <c r="DJ8" s="45">
        <f t="shared" si="61"/>
        <v>373.96803590886213</v>
      </c>
      <c r="DK8" s="18">
        <f t="shared" si="62"/>
        <v>1216.0042893842483</v>
      </c>
      <c r="DL8" s="21">
        <f t="shared" si="63"/>
        <v>0.30753841838685408</v>
      </c>
      <c r="DM8" s="21">
        <f t="shared" ref="DM8:DM34" si="96">DM$7+($L$24-$F$24)*1/(1+EXP(-$K$5*($M7-($M$7+($M$34-$M$7)/2))))</f>
        <v>0.52990896471932758</v>
      </c>
      <c r="DN8" s="18">
        <f>LIT_FEC!$B82*$D$24/SUM($D$14:D$26)</f>
        <v>467.85817955147746</v>
      </c>
      <c r="DO8" s="18">
        <f t="shared" si="64"/>
        <v>133.92993950897642</v>
      </c>
      <c r="DP8" s="18">
        <f t="shared" si="65"/>
        <v>467.04621505747519</v>
      </c>
      <c r="DQ8" s="21">
        <f t="shared" si="66"/>
        <v>0.28675950086116181</v>
      </c>
      <c r="DR8" s="21">
        <f t="shared" ref="DR8:DR34" si="97">DR$7+($L$25-$F$25)*1/(1+EXP(-$K$5*($M7-($M$7+($M$34-$M$7)/2))))</f>
        <v>0.73291396793764918</v>
      </c>
      <c r="DS8" s="18">
        <f>LIT_FEC!$B82*$D$25/SUM($D$14:D$26)</f>
        <v>326.03975676401768</v>
      </c>
      <c r="DT8" s="18">
        <f t="shared" si="67"/>
        <v>169.9704774800835</v>
      </c>
      <c r="DU8" s="18">
        <f t="shared" si="68"/>
        <v>324.82064538464942</v>
      </c>
      <c r="DV8" s="21">
        <f t="shared" si="69"/>
        <v>0.52327485920362649</v>
      </c>
      <c r="DW8" s="21">
        <f t="shared" ref="DW8:DW34" si="98">DW$7+($L$26-$F$26)*1/(1+EXP(-$K$5*($M7-($M$7+($M$34-$M$7)/2))))</f>
        <v>0.79854700378799315</v>
      </c>
      <c r="DX8" s="18">
        <f>LIT_FEC!$B82*$D$26/SUM($D$14:D$26)</f>
        <v>820.51215097900854</v>
      </c>
      <c r="DY8" s="18">
        <f t="shared" si="70"/>
        <v>547.59729981239548</v>
      </c>
      <c r="DZ8" s="18">
        <f t="shared" si="71"/>
        <v>820.49024806681177</v>
      </c>
      <c r="EA8" s="21">
        <f t="shared" si="72"/>
        <v>0.66740256950355015</v>
      </c>
      <c r="EB8" s="21">
        <f t="shared" si="73"/>
        <v>0.31589788306460709</v>
      </c>
      <c r="EC8" s="18">
        <f t="shared" si="74"/>
        <v>29.597686814668123</v>
      </c>
      <c r="ED8" s="21">
        <f t="shared" si="75"/>
        <v>2.7074356764240875E-3</v>
      </c>
    </row>
    <row r="9" spans="1:134" ht="19.5" customHeight="1" thickBot="1" x14ac:dyDescent="0.4">
      <c r="A9" s="77" t="s">
        <v>127</v>
      </c>
      <c r="B9" s="23" t="s">
        <v>159</v>
      </c>
      <c r="C9" s="18">
        <f t="shared" ref="C9:D13" si="99">C74</f>
        <v>504.77684739809899</v>
      </c>
      <c r="D9" s="18">
        <f t="shared" si="99"/>
        <v>16144.858506312539</v>
      </c>
      <c r="E9" s="21">
        <f t="shared" si="0"/>
        <v>3.1265485987426546E-2</v>
      </c>
      <c r="F9" s="21">
        <f>IF(D9=0,0,C9*J9/((D9-C9)+(C9*J9)))</f>
        <v>7.4662190463954378E-2</v>
      </c>
      <c r="G9" s="55">
        <v>0.59</v>
      </c>
      <c r="H9" s="23" t="s">
        <v>187</v>
      </c>
      <c r="I9" s="23" t="s">
        <v>177</v>
      </c>
      <c r="J9" s="56">
        <f>'Efficiency Assumptions'!B7</f>
        <v>2.5</v>
      </c>
      <c r="K9" s="84"/>
      <c r="L9" s="58">
        <f t="shared" ref="L9:L26" si="100">IF(J9=1, G9, G9*J9/(1+G9*(J9-1)))</f>
        <v>0.7824933687002652</v>
      </c>
      <c r="M9" s="47">
        <f t="shared" si="76"/>
        <v>2026</v>
      </c>
      <c r="N9" s="21">
        <f t="shared" si="77"/>
        <v>0.19198051914883202</v>
      </c>
      <c r="O9" s="18">
        <f>LIT_FEC!B189*D$5/SUM(D$5:D$8)</f>
        <v>381.22155670527172</v>
      </c>
      <c r="P9" s="18">
        <f t="shared" si="1"/>
        <v>18.248805624045072</v>
      </c>
      <c r="Q9" s="18">
        <f t="shared" si="2"/>
        <v>377.69095712665319</v>
      </c>
      <c r="R9" s="21">
        <f t="shared" si="3"/>
        <v>4.8316766074771547E-2</v>
      </c>
      <c r="S9" s="21">
        <f t="shared" si="78"/>
        <v>2.7175099598830264E-2</v>
      </c>
      <c r="T9" s="18">
        <f>LIT_FEC!B189*D$6/SUM(D$5:D$8)</f>
        <v>26310.068645498235</v>
      </c>
      <c r="U9" s="18">
        <f t="shared" si="4"/>
        <v>287.54423321676086</v>
      </c>
      <c r="V9" s="18">
        <f t="shared" si="5"/>
        <v>26022.445677555475</v>
      </c>
      <c r="W9" s="21">
        <f t="shared" si="6"/>
        <v>1.1049854298082735E-2</v>
      </c>
      <c r="X9" s="21">
        <f t="shared" si="79"/>
        <v>0</v>
      </c>
      <c r="Y9" s="18">
        <f>LIT_FEC!$B189*$D$7/SUM($D$5:$D$8)</f>
        <v>6.7828378293232134</v>
      </c>
      <c r="Z9" s="18">
        <f t="shared" si="7"/>
        <v>0</v>
      </c>
      <c r="AA9" s="18">
        <f t="shared" si="8"/>
        <v>6.7828378293232134</v>
      </c>
      <c r="AB9" s="21">
        <f t="shared" si="9"/>
        <v>0</v>
      </c>
      <c r="AC9" s="21">
        <f t="shared" si="80"/>
        <v>0</v>
      </c>
      <c r="AD9" s="18">
        <f>LIT_FEC!$B189*$D$8/SUM($D$5:$D$8)</f>
        <v>31.871984524219638</v>
      </c>
      <c r="AE9" s="18">
        <f t="shared" si="10"/>
        <v>0</v>
      </c>
      <c r="AF9" s="18">
        <f t="shared" si="11"/>
        <v>31.871984524219638</v>
      </c>
      <c r="AG9" s="21">
        <f t="shared" si="12"/>
        <v>0</v>
      </c>
      <c r="AH9" s="21">
        <f t="shared" si="13"/>
        <v>1.1566074770767589E-2</v>
      </c>
      <c r="AI9" s="18">
        <f t="shared" si="14"/>
        <v>291.15356752137814</v>
      </c>
      <c r="AJ9" s="21">
        <f t="shared" si="15"/>
        <v>1.0892411759690962E-2</v>
      </c>
      <c r="AL9" s="21">
        <f t="shared" si="81"/>
        <v>9.0926289280139364E-2</v>
      </c>
      <c r="AM9" s="18">
        <f>LIT_FEC!$B136*$D$9/SUM($D$9:$D$13)</f>
        <v>16202.576985834385</v>
      </c>
      <c r="AN9" s="18">
        <f t="shared" si="16"/>
        <v>616.93302337596185</v>
      </c>
      <c r="AO9" s="18">
        <f t="shared" si="17"/>
        <v>16037.04961633665</v>
      </c>
      <c r="AP9" s="21">
        <f t="shared" si="18"/>
        <v>3.8469234562166811E-2</v>
      </c>
      <c r="AQ9" s="21">
        <f t="shared" si="82"/>
        <v>1</v>
      </c>
      <c r="AR9" s="18">
        <f>LIT_FEC!$B136*$D$10/SUM($D$9:$D$13)</f>
        <v>33.8588667246106</v>
      </c>
      <c r="AS9" s="18">
        <f t="shared" si="19"/>
        <v>33.8588667246106</v>
      </c>
      <c r="AT9" s="18">
        <f t="shared" si="20"/>
        <v>33.8588667246106</v>
      </c>
      <c r="AU9" s="21">
        <f t="shared" si="21"/>
        <v>1</v>
      </c>
      <c r="AV9" s="18">
        <f t="shared" si="83"/>
        <v>0.38167597215423743</v>
      </c>
      <c r="AW9" s="18">
        <f>LIT_FEC!$B136*$D$11/SUM($D$9:$D$13)</f>
        <v>2927.0495008922499</v>
      </c>
      <c r="AX9" s="65">
        <f t="shared" si="22"/>
        <v>575.38616475360914</v>
      </c>
      <c r="AY9" s="18">
        <f t="shared" si="23"/>
        <v>2905.7338740233881</v>
      </c>
      <c r="AZ9" s="21">
        <f t="shared" si="24"/>
        <v>0.19801750253092099</v>
      </c>
      <c r="BA9" s="18">
        <f t="shared" si="84"/>
        <v>0.2729810620266101</v>
      </c>
      <c r="BB9" s="18">
        <f>LIT_FEC!$B136*$D$12/SUM($D$9:$D$13)</f>
        <v>1545.949347495022</v>
      </c>
      <c r="BC9" s="18">
        <f t="shared" si="25"/>
        <v>422.01489471853603</v>
      </c>
      <c r="BD9" s="18">
        <f t="shared" si="26"/>
        <v>1545.949347495022</v>
      </c>
      <c r="BE9" s="21">
        <f t="shared" si="27"/>
        <v>0.2729810620266101</v>
      </c>
      <c r="BF9" s="18">
        <f t="shared" si="85"/>
        <v>1</v>
      </c>
      <c r="BG9" s="18">
        <f>LIT_FEC!$B136*$D$13/SUM($D$9:$D$13)</f>
        <v>4620.1400668189108</v>
      </c>
      <c r="BH9" s="18">
        <f t="shared" si="28"/>
        <v>4620.1400668189108</v>
      </c>
      <c r="BI9" s="18">
        <f t="shared" si="29"/>
        <v>4620.1400668189108</v>
      </c>
      <c r="BJ9" s="21">
        <f t="shared" si="30"/>
        <v>1</v>
      </c>
      <c r="BK9" s="21">
        <f t="shared" si="31"/>
        <v>0.24930994266590575</v>
      </c>
      <c r="BL9" s="18">
        <f t="shared" si="32"/>
        <v>186.84299636659125</v>
      </c>
      <c r="BM9" s="21">
        <f t="shared" si="33"/>
        <v>7.376475842159445E-3</v>
      </c>
      <c r="BO9" s="21">
        <f t="shared" si="86"/>
        <v>1.0000000000000002</v>
      </c>
      <c r="BP9" s="18">
        <f>LIT_FEC!$B83*$D$14/SUM($D$14:$D$26)</f>
        <v>18.174443966046748</v>
      </c>
      <c r="BQ9" s="18">
        <f t="shared" si="34"/>
        <v>18.174443966046756</v>
      </c>
      <c r="BR9" s="18">
        <f t="shared" si="35"/>
        <v>18.174443966046756</v>
      </c>
      <c r="BS9" s="21">
        <f t="shared" si="36"/>
        <v>1</v>
      </c>
      <c r="BT9" s="21">
        <f t="shared" si="87"/>
        <v>0.29169083761075632</v>
      </c>
      <c r="BU9" s="18">
        <f>LIT_FEC!$B83*$D$15/SUM($D$14:$D$26)</f>
        <v>2730.039288613807</v>
      </c>
      <c r="BV9" s="18">
        <f t="shared" si="37"/>
        <v>552.88127548219722</v>
      </c>
      <c r="BW9" s="18">
        <f t="shared" si="38"/>
        <v>2717.9856215951031</v>
      </c>
      <c r="BX9" s="21">
        <f t="shared" si="39"/>
        <v>0.20341582055821472</v>
      </c>
      <c r="BY9" s="21">
        <f t="shared" si="88"/>
        <v>2.2107428989939344E-2</v>
      </c>
      <c r="BZ9" s="18">
        <f>LIT_FEC!$B83*$D$16/SUM($D$14:$D$26)</f>
        <v>0</v>
      </c>
      <c r="CA9" s="18">
        <f t="shared" si="40"/>
        <v>0</v>
      </c>
      <c r="CB9" s="18">
        <f t="shared" si="41"/>
        <v>0</v>
      </c>
      <c r="CC9" s="21">
        <f t="shared" si="42"/>
        <v>0</v>
      </c>
      <c r="CD9" s="21">
        <f t="shared" si="89"/>
        <v>0.2195020081414559</v>
      </c>
      <c r="CE9" s="18">
        <f>LIT_FEC!$B83*$D$17/SUM($D$14:D$26)</f>
        <v>1619.6766076147389</v>
      </c>
      <c r="CF9" s="18">
        <f t="shared" si="43"/>
        <v>250.87495199445016</v>
      </c>
      <c r="CG9" s="18">
        <f t="shared" si="44"/>
        <v>1616.6730768025891</v>
      </c>
      <c r="CH9" s="21">
        <f t="shared" si="45"/>
        <v>0.1551797673841539</v>
      </c>
      <c r="CI9" s="21">
        <f t="shared" si="90"/>
        <v>0.847134527585514</v>
      </c>
      <c r="CJ9" s="18">
        <f>LIT_FEC!$B83*$D$18/SUM($D$14:D$26)</f>
        <v>76.390533533706133</v>
      </c>
      <c r="CK9" s="18">
        <f t="shared" si="46"/>
        <v>57.468037396133369</v>
      </c>
      <c r="CL9" s="18">
        <f t="shared" si="47"/>
        <v>76.348465208473144</v>
      </c>
      <c r="CM9" s="21">
        <f t="shared" si="48"/>
        <v>0.7527071728189183</v>
      </c>
      <c r="CN9" s="21">
        <f t="shared" si="91"/>
        <v>0.79937375077328476</v>
      </c>
      <c r="CO9" s="18">
        <f>LIT_FEC!$B83*$D$19/SUM($D$14:D$26)</f>
        <v>347.36245105553974</v>
      </c>
      <c r="CP9" s="18">
        <f t="shared" si="49"/>
        <v>236.67817229148409</v>
      </c>
      <c r="CQ9" s="18">
        <f t="shared" si="50"/>
        <v>346.47725051021831</v>
      </c>
      <c r="CR9" s="21">
        <f t="shared" si="51"/>
        <v>0.68309873719834302</v>
      </c>
      <c r="CS9" s="18">
        <f t="shared" si="92"/>
        <v>0.53739681934519545</v>
      </c>
      <c r="CT9" s="18">
        <f>LIT_FEC!$B83*$D$20/SUM($D$14:D$26)</f>
        <v>128.11988374751382</v>
      </c>
      <c r="CU9" s="18">
        <f t="shared" si="52"/>
        <v>37.186185187308645</v>
      </c>
      <c r="CV9" s="18">
        <f t="shared" si="53"/>
        <v>126.93580707244678</v>
      </c>
      <c r="CW9" s="21">
        <f t="shared" si="54"/>
        <v>0.29295268250104689</v>
      </c>
      <c r="CX9" s="21">
        <f t="shared" si="93"/>
        <v>0.56882913001021695</v>
      </c>
      <c r="CY9" s="18">
        <f>LIT_FEC!$B83*$D$21/SUM($D$14:D$26)</f>
        <v>2169.830589484859</v>
      </c>
      <c r="CZ9" s="18">
        <f t="shared" si="55"/>
        <v>745.0611308443489</v>
      </c>
      <c r="DA9" s="18">
        <f t="shared" si="56"/>
        <v>2156.9466999605065</v>
      </c>
      <c r="DB9" s="21">
        <f t="shared" si="57"/>
        <v>0.34542398792607665</v>
      </c>
      <c r="DC9" s="21">
        <f t="shared" si="94"/>
        <v>0.60224639408575575</v>
      </c>
      <c r="DD9" s="18">
        <f>LIT_FEC!$B83*$D$22/SUM($D$14:D$26)</f>
        <v>527.20445140732249</v>
      </c>
      <c r="DE9" s="18">
        <f t="shared" si="58"/>
        <v>197.41335357705134</v>
      </c>
      <c r="DF9" s="18">
        <f t="shared" si="59"/>
        <v>523.3674564658553</v>
      </c>
      <c r="DG9" s="21">
        <f t="shared" si="60"/>
        <v>0.37719837398780004</v>
      </c>
      <c r="DH9" s="21">
        <f t="shared" si="95"/>
        <v>0.52635468121835993</v>
      </c>
      <c r="DI9" s="18">
        <f>LIT_FEC!$B83*$D$23/SUM($D$14:D$26)</f>
        <v>1143.9790729279082</v>
      </c>
      <c r="DJ9" s="45">
        <f t="shared" si="61"/>
        <v>351.76634689374134</v>
      </c>
      <c r="DK9" s="18">
        <f t="shared" si="62"/>
        <v>1143.1171672449495</v>
      </c>
      <c r="DL9" s="21">
        <f t="shared" si="63"/>
        <v>0.3077255394051519</v>
      </c>
      <c r="DM9" s="21">
        <f t="shared" si="96"/>
        <v>0.53051777858661309</v>
      </c>
      <c r="DN9" s="18">
        <f>LIT_FEC!$B83*$D$24/SUM($D$14:D$26)</f>
        <v>439.89930528087257</v>
      </c>
      <c r="DO9" s="18">
        <f t="shared" si="64"/>
        <v>126.07105811020826</v>
      </c>
      <c r="DP9" s="18">
        <f t="shared" si="65"/>
        <v>438.87490346430855</v>
      </c>
      <c r="DQ9" s="21">
        <f t="shared" si="66"/>
        <v>0.28725966582972084</v>
      </c>
      <c r="DR9" s="21">
        <f t="shared" si="97"/>
        <v>0.73411189138299049</v>
      </c>
      <c r="DS9" s="18">
        <f>LIT_FEC!$B83*$D$25/SUM($D$14:D$26)</f>
        <v>306.5558512452069</v>
      </c>
      <c r="DT9" s="18">
        <f t="shared" si="67"/>
        <v>160.07437111400009</v>
      </c>
      <c r="DU9" s="18">
        <f t="shared" si="68"/>
        <v>305.01777917328309</v>
      </c>
      <c r="DV9" s="21">
        <f t="shared" si="69"/>
        <v>0.5248034116170669</v>
      </c>
      <c r="DW9" s="21">
        <f t="shared" si="98"/>
        <v>0.79855819688389484</v>
      </c>
      <c r="DX9" s="18">
        <f>LIT_FEC!$B83*$D$26/SUM($D$14:D$26)</f>
        <v>771.47892452410656</v>
      </c>
      <c r="DY9" s="18">
        <f t="shared" si="70"/>
        <v>514.88048894030669</v>
      </c>
      <c r="DZ9" s="18">
        <f t="shared" si="71"/>
        <v>771.45129107066339</v>
      </c>
      <c r="EA9" s="21">
        <f t="shared" si="72"/>
        <v>0.66741801446171234</v>
      </c>
      <c r="EB9" s="21">
        <f t="shared" si="73"/>
        <v>0.31719680352152407</v>
      </c>
      <c r="EC9" s="18">
        <f t="shared" si="74"/>
        <v>37.341440867183337</v>
      </c>
      <c r="ED9" s="21">
        <f t="shared" si="75"/>
        <v>3.6328912644463971E-3</v>
      </c>
    </row>
    <row r="10" spans="1:134" ht="19.5" customHeight="1" thickBot="1" x14ac:dyDescent="0.4">
      <c r="A10" s="77"/>
      <c r="B10" s="23" t="s">
        <v>160</v>
      </c>
      <c r="C10" s="18">
        <f t="shared" si="99"/>
        <v>33.738251201080864</v>
      </c>
      <c r="D10" s="18">
        <f t="shared" si="99"/>
        <v>33.738251201080864</v>
      </c>
      <c r="E10" s="21">
        <f t="shared" si="0"/>
        <v>1</v>
      </c>
      <c r="F10" s="21">
        <f t="shared" ref="F10:F26" si="101">IF(D10=0,0,C10*J10/(D10+(C10*J10)-C10))</f>
        <v>1</v>
      </c>
      <c r="G10" s="55">
        <v>1</v>
      </c>
      <c r="H10" s="23" t="s">
        <v>187</v>
      </c>
      <c r="I10" s="23" t="s">
        <v>174</v>
      </c>
      <c r="J10" s="40">
        <v>1</v>
      </c>
      <c r="K10" s="84"/>
      <c r="L10" s="58">
        <f t="shared" si="100"/>
        <v>1</v>
      </c>
      <c r="M10" s="47">
        <f t="shared" si="76"/>
        <v>2027</v>
      </c>
      <c r="N10" s="21">
        <f t="shared" si="77"/>
        <v>0.19762678172608769</v>
      </c>
      <c r="O10" s="18">
        <f>LIT_FEC!B190*D$5/SUM(D$5:D$8)</f>
        <v>381.40368389488384</v>
      </c>
      <c r="P10" s="18">
        <f t="shared" si="1"/>
        <v>18.794488687089228</v>
      </c>
      <c r="Q10" s="18">
        <f t="shared" si="2"/>
        <v>375.89545962170575</v>
      </c>
      <c r="R10" s="21">
        <f t="shared" si="3"/>
        <v>4.9999243688667198E-2</v>
      </c>
      <c r="S10" s="21">
        <f t="shared" si="78"/>
        <v>3.3338167751504083E-2</v>
      </c>
      <c r="T10" s="18">
        <f>LIT_FEC!B190*D$6/SUM(D$5:D$8)</f>
        <v>26322.638183544088</v>
      </c>
      <c r="U10" s="18">
        <f t="shared" si="4"/>
        <v>352.92520708833285</v>
      </c>
      <c r="V10" s="18">
        <f t="shared" si="5"/>
        <v>25937.007031190646</v>
      </c>
      <c r="W10" s="21">
        <f t="shared" si="6"/>
        <v>1.3607013587339562E-2</v>
      </c>
      <c r="X10" s="21">
        <f t="shared" si="79"/>
        <v>0</v>
      </c>
      <c r="Y10" s="18">
        <f>LIT_FEC!$B190*$D$7/SUM($D$5:$D$8)</f>
        <v>6.7860783050248639</v>
      </c>
      <c r="Z10" s="18">
        <f t="shared" si="7"/>
        <v>0</v>
      </c>
      <c r="AA10" s="18">
        <f t="shared" si="8"/>
        <v>6.7860783050248639</v>
      </c>
      <c r="AB10" s="21">
        <f t="shared" si="9"/>
        <v>0</v>
      </c>
      <c r="AC10" s="21">
        <f t="shared" si="80"/>
        <v>0</v>
      </c>
      <c r="AD10" s="18">
        <f>LIT_FEC!$B190*$D$8/SUM($D$5:$D$8)</f>
        <v>31.887211247018119</v>
      </c>
      <c r="AE10" s="18">
        <f t="shared" si="10"/>
        <v>0</v>
      </c>
      <c r="AF10" s="18">
        <f t="shared" si="11"/>
        <v>31.887211247018119</v>
      </c>
      <c r="AG10" s="21">
        <f t="shared" si="12"/>
        <v>0</v>
      </c>
      <c r="AH10" s="21">
        <f t="shared" si="13"/>
        <v>1.4106165751666556E-2</v>
      </c>
      <c r="AI10" s="18">
        <f t="shared" si="14"/>
        <v>391.13937662662283</v>
      </c>
      <c r="AJ10" s="21">
        <f t="shared" si="15"/>
        <v>1.4626015882473777E-2</v>
      </c>
      <c r="AL10" s="21">
        <f t="shared" si="81"/>
        <v>9.6441348435711796E-2</v>
      </c>
      <c r="AM10" s="18">
        <f>LIT_FEC!$B137*$D$9/SUM($D$9:$D$13)</f>
        <v>16246.415701473801</v>
      </c>
      <c r="AN10" s="18">
        <f t="shared" si="16"/>
        <v>656.1230452628231</v>
      </c>
      <c r="AO10" s="18">
        <f t="shared" si="17"/>
        <v>16024.15925727007</v>
      </c>
      <c r="AP10" s="21">
        <f t="shared" si="18"/>
        <v>4.0945863975056528E-2</v>
      </c>
      <c r="AQ10" s="21">
        <f t="shared" si="82"/>
        <v>1</v>
      </c>
      <c r="AR10" s="18">
        <f>LIT_FEC!$B137*$D$10/SUM($D$9:$D$13)</f>
        <v>33.950477412929551</v>
      </c>
      <c r="AS10" s="18">
        <f t="shared" si="19"/>
        <v>33.950477412929551</v>
      </c>
      <c r="AT10" s="18">
        <f t="shared" si="20"/>
        <v>33.950477412929551</v>
      </c>
      <c r="AU10" s="21">
        <f t="shared" si="21"/>
        <v>1</v>
      </c>
      <c r="AV10" s="18">
        <f t="shared" si="83"/>
        <v>0.38487238175543964</v>
      </c>
      <c r="AW10" s="18">
        <f>LIT_FEC!$B137*$D$11/SUM($D$9:$D$13)</f>
        <v>2934.9691108928255</v>
      </c>
      <c r="AX10" s="65">
        <f t="shared" si="22"/>
        <v>581.77467177326969</v>
      </c>
      <c r="AY10" s="18">
        <f t="shared" si="23"/>
        <v>2906.348252310816</v>
      </c>
      <c r="AZ10" s="21">
        <f t="shared" si="24"/>
        <v>0.20017376489920125</v>
      </c>
      <c r="BA10" s="18">
        <f t="shared" si="84"/>
        <v>0.27877884010116311</v>
      </c>
      <c r="BB10" s="18">
        <f>LIT_FEC!$B137*$D$12/SUM($D$9:$D$13)</f>
        <v>1550.1321656909809</v>
      </c>
      <c r="BC10" s="18">
        <f t="shared" si="25"/>
        <v>432.14404715483562</v>
      </c>
      <c r="BD10" s="18">
        <f t="shared" si="26"/>
        <v>1550.1321656909809</v>
      </c>
      <c r="BE10" s="21">
        <f t="shared" si="27"/>
        <v>0.27877884010116311</v>
      </c>
      <c r="BF10" s="18">
        <f t="shared" si="85"/>
        <v>1</v>
      </c>
      <c r="BG10" s="18">
        <f>LIT_FEC!$B137*$D$13/SUM($D$9:$D$13)</f>
        <v>4632.640609589399</v>
      </c>
      <c r="BH10" s="18">
        <f t="shared" si="28"/>
        <v>4632.640609589399</v>
      </c>
      <c r="BI10" s="18">
        <f t="shared" si="29"/>
        <v>4632.640609589399</v>
      </c>
      <c r="BJ10" s="21">
        <f t="shared" si="30"/>
        <v>1</v>
      </c>
      <c r="BK10" s="21">
        <f t="shared" si="31"/>
        <v>0.25198133786959381</v>
      </c>
      <c r="BL10" s="18">
        <f t="shared" si="32"/>
        <v>250.87730278573872</v>
      </c>
      <c r="BM10" s="21">
        <f t="shared" si="33"/>
        <v>9.8777949185462951E-3</v>
      </c>
      <c r="BO10" s="21">
        <f t="shared" si="86"/>
        <v>1.0000000000000002</v>
      </c>
      <c r="BP10" s="18">
        <f>LIT_FEC!$B84*$D$14/SUM($D$14:$D$26)</f>
        <v>18.150671721110765</v>
      </c>
      <c r="BQ10" s="18">
        <f t="shared" si="34"/>
        <v>18.150671721110772</v>
      </c>
      <c r="BR10" s="18">
        <f t="shared" si="35"/>
        <v>18.150671721110772</v>
      </c>
      <c r="BS10" s="21">
        <f t="shared" si="36"/>
        <v>1</v>
      </c>
      <c r="BT10" s="21">
        <f t="shared" si="87"/>
        <v>0.29521049218436907</v>
      </c>
      <c r="BU10" s="18">
        <f>LIT_FEC!$B84*$D$15/SUM($D$14:$D$26)</f>
        <v>2726.46838637465</v>
      </c>
      <c r="BV10" s="18">
        <f t="shared" si="37"/>
        <v>558.82065803235764</v>
      </c>
      <c r="BW10" s="18">
        <f t="shared" si="38"/>
        <v>2710.3485050596278</v>
      </c>
      <c r="BX10" s="21">
        <f t="shared" si="39"/>
        <v>0.20618037015873114</v>
      </c>
      <c r="BY10" s="21">
        <f t="shared" si="88"/>
        <v>2.9603926646225211E-2</v>
      </c>
      <c r="BZ10" s="18">
        <f>LIT_FEC!$B84*$D$16/SUM($D$14:$D$26)</f>
        <v>0</v>
      </c>
      <c r="CA10" s="18">
        <f t="shared" si="40"/>
        <v>0</v>
      </c>
      <c r="CB10" s="18">
        <f t="shared" si="41"/>
        <v>0</v>
      </c>
      <c r="CC10" s="21">
        <f t="shared" si="42"/>
        <v>0</v>
      </c>
      <c r="CD10" s="21">
        <f t="shared" si="89"/>
        <v>0.22117995877355712</v>
      </c>
      <c r="CE10" s="18">
        <f>LIT_FEC!$B84*$D$17/SUM($D$14:D$26)</f>
        <v>1617.5580641751028</v>
      </c>
      <c r="CF10" s="18">
        <f t="shared" si="43"/>
        <v>252.4620745616312</v>
      </c>
      <c r="CG10" s="18">
        <f t="shared" si="44"/>
        <v>1613.5413147375468</v>
      </c>
      <c r="CH10" s="21">
        <f t="shared" si="45"/>
        <v>0.15646458646935596</v>
      </c>
      <c r="CI10" s="21">
        <f t="shared" si="90"/>
        <v>0.84739076293566762</v>
      </c>
      <c r="CJ10" s="18">
        <f>LIT_FEC!$B84*$D$18/SUM($D$14:D$26)</f>
        <v>76.290614412254811</v>
      </c>
      <c r="CK10" s="18">
        <f t="shared" si="46"/>
        <v>57.410228769998639</v>
      </c>
      <c r="CL10" s="18">
        <f t="shared" si="47"/>
        <v>76.234354652562985</v>
      </c>
      <c r="CM10" s="21">
        <f t="shared" si="48"/>
        <v>0.75307555276941696</v>
      </c>
      <c r="CN10" s="21">
        <f t="shared" si="91"/>
        <v>0.80056866947257144</v>
      </c>
      <c r="CO10" s="18">
        <f>LIT_FEC!$B84*$D$19/SUM($D$14:D$26)</f>
        <v>346.90809958908045</v>
      </c>
      <c r="CP10" s="18">
        <f t="shared" si="49"/>
        <v>236.72192446044062</v>
      </c>
      <c r="CQ10" s="18">
        <f t="shared" si="50"/>
        <v>345.72428326924745</v>
      </c>
      <c r="CR10" s="21">
        <f t="shared" si="51"/>
        <v>0.68471303844191755</v>
      </c>
      <c r="CS10" s="18">
        <f t="shared" si="92"/>
        <v>0.54061373689160996</v>
      </c>
      <c r="CT10" s="18">
        <f>LIT_FEC!$B84*$D$20/SUM($D$14:D$26)</f>
        <v>127.95230243040142</v>
      </c>
      <c r="CU10" s="18">
        <f t="shared" si="52"/>
        <v>37.359855015941328</v>
      </c>
      <c r="CV10" s="18">
        <f t="shared" si="53"/>
        <v>126.36878635679918</v>
      </c>
      <c r="CW10" s="21">
        <f t="shared" si="54"/>
        <v>0.29564147993363399</v>
      </c>
      <c r="CX10" s="21">
        <f t="shared" si="93"/>
        <v>0.57105277691068224</v>
      </c>
      <c r="CY10" s="18">
        <f>LIT_FEC!$B84*$D$21/SUM($D$14:D$26)</f>
        <v>2166.9924424505298</v>
      </c>
      <c r="CZ10" s="18">
        <f t="shared" si="55"/>
        <v>746.99534513726144</v>
      </c>
      <c r="DA10" s="18">
        <f t="shared" si="56"/>
        <v>2149.7622692852888</v>
      </c>
      <c r="DB10" s="21">
        <f t="shared" si="57"/>
        <v>0.34747811691085634</v>
      </c>
      <c r="DC10" s="21">
        <f t="shared" si="94"/>
        <v>0.60489256456787288</v>
      </c>
      <c r="DD10" s="18">
        <f>LIT_FEC!$B84*$D$22/SUM($D$14:D$26)</f>
        <v>526.51486588967975</v>
      </c>
      <c r="DE10" s="18">
        <f t="shared" si="58"/>
        <v>198.02140300073498</v>
      </c>
      <c r="DF10" s="18">
        <f t="shared" si="59"/>
        <v>521.38348944076881</v>
      </c>
      <c r="DG10" s="21">
        <f t="shared" si="60"/>
        <v>0.37979991121915069</v>
      </c>
      <c r="DH10" s="21">
        <f t="shared" si="95"/>
        <v>0.52664623109173914</v>
      </c>
      <c r="DI10" s="18">
        <f>LIT_FEC!$B84*$D$23/SUM($D$14:D$26)</f>
        <v>1142.4827437541474</v>
      </c>
      <c r="DJ10" s="45">
        <f t="shared" si="61"/>
        <v>351.50082498283206</v>
      </c>
      <c r="DK10" s="18">
        <f t="shared" si="62"/>
        <v>1141.3300806440354</v>
      </c>
      <c r="DL10" s="21">
        <f t="shared" si="63"/>
        <v>0.30797473136297732</v>
      </c>
      <c r="DM10" s="21">
        <f t="shared" si="96"/>
        <v>0.53132818248971969</v>
      </c>
      <c r="DN10" s="18">
        <f>LIT_FEC!$B84*$D$24/SUM($D$14:D$26)</f>
        <v>439.32391524132902</v>
      </c>
      <c r="DO10" s="18">
        <f t="shared" si="64"/>
        <v>126.09848733702688</v>
      </c>
      <c r="DP10" s="18">
        <f t="shared" si="65"/>
        <v>437.95393914390735</v>
      </c>
      <c r="DQ10" s="21">
        <f t="shared" si="66"/>
        <v>0.28792636865766874</v>
      </c>
      <c r="DR10" s="21">
        <f t="shared" si="97"/>
        <v>0.73570647042905635</v>
      </c>
      <c r="DS10" s="18">
        <f>LIT_FEC!$B84*$D$25/SUM($D$14:D$26)</f>
        <v>306.15487497347203</v>
      </c>
      <c r="DT10" s="18">
        <f t="shared" si="67"/>
        <v>160.21223913302074</v>
      </c>
      <c r="DU10" s="18">
        <f t="shared" si="68"/>
        <v>304.09794580702919</v>
      </c>
      <c r="DV10" s="21">
        <f t="shared" si="69"/>
        <v>0.52684420050205238</v>
      </c>
      <c r="DW10" s="21">
        <f t="shared" si="98"/>
        <v>0.79857309623013839</v>
      </c>
      <c r="DX10" s="18">
        <f>LIT_FEC!$B84*$D$26/SUM($D$14:D$26)</f>
        <v>770.46982702483785</v>
      </c>
      <c r="DY10" s="18">
        <f t="shared" si="70"/>
        <v>514.21661719092936</v>
      </c>
      <c r="DZ10" s="18">
        <f t="shared" si="71"/>
        <v>770.43287163282844</v>
      </c>
      <c r="EA10" s="21">
        <f t="shared" si="72"/>
        <v>0.66743857398129536</v>
      </c>
      <c r="EB10" s="21">
        <f t="shared" si="73"/>
        <v>0.31892956996885846</v>
      </c>
      <c r="EC10" s="18">
        <f t="shared" si="74"/>
        <v>49.938296285843535</v>
      </c>
      <c r="ED10" s="21">
        <f t="shared" si="75"/>
        <v>4.864783080625555E-3</v>
      </c>
    </row>
    <row r="11" spans="1:134" ht="19.5" customHeight="1" thickBot="1" x14ac:dyDescent="0.4">
      <c r="A11" s="77"/>
      <c r="B11" s="23" t="s">
        <v>161</v>
      </c>
      <c r="C11" s="18">
        <f t="shared" si="99"/>
        <v>559.17666910910827</v>
      </c>
      <c r="D11" s="18">
        <f t="shared" si="99"/>
        <v>2916.6224653148611</v>
      </c>
      <c r="E11" s="21">
        <f t="shared" si="0"/>
        <v>0.1917206206010427</v>
      </c>
      <c r="F11" s="21">
        <f t="shared" si="101"/>
        <v>0.37224965048760073</v>
      </c>
      <c r="G11" s="49">
        <f>G9</f>
        <v>0.59</v>
      </c>
      <c r="H11" s="23" t="s">
        <v>187</v>
      </c>
      <c r="I11" s="23" t="s">
        <v>178</v>
      </c>
      <c r="J11" s="56">
        <f>'Efficiency Assumptions'!B7</f>
        <v>2.5</v>
      </c>
      <c r="K11" s="84"/>
      <c r="L11" s="58">
        <f t="shared" si="100"/>
        <v>0.7824933687002652</v>
      </c>
      <c r="M11" s="47">
        <f t="shared" si="76"/>
        <v>2028</v>
      </c>
      <c r="N11" s="21">
        <f t="shared" si="77"/>
        <v>0.2051071341821005</v>
      </c>
      <c r="O11" s="18">
        <f>LIT_FEC!B191*D$5/SUM(D$5:D$8)</f>
        <v>381.01123151891454</v>
      </c>
      <c r="P11" s="18">
        <f t="shared" si="1"/>
        <v>19.485806151808905</v>
      </c>
      <c r="Q11" s="18">
        <f t="shared" si="2"/>
        <v>372.89358172151282</v>
      </c>
      <c r="R11" s="21">
        <f t="shared" si="3"/>
        <v>5.2255675900481018E-2</v>
      </c>
      <c r="S11" s="21">
        <f t="shared" si="78"/>
        <v>4.150320105656783E-2</v>
      </c>
      <c r="T11" s="18">
        <f>LIT_FEC!B191*D$6/SUM(D$5:D$8)</f>
        <v>26295.553018053764</v>
      </c>
      <c r="U11" s="18">
        <f t="shared" si="4"/>
        <v>438.90996332271237</v>
      </c>
      <c r="V11" s="18">
        <f t="shared" si="5"/>
        <v>25780.789699823883</v>
      </c>
      <c r="W11" s="21">
        <f t="shared" si="6"/>
        <v>1.7024690416124481E-2</v>
      </c>
      <c r="X11" s="21">
        <f t="shared" si="79"/>
        <v>0</v>
      </c>
      <c r="Y11" s="18">
        <f>LIT_FEC!$B191*$D$7/SUM($D$5:$D$8)</f>
        <v>6.7790956442201127</v>
      </c>
      <c r="Z11" s="18">
        <f t="shared" si="7"/>
        <v>0</v>
      </c>
      <c r="AA11" s="18">
        <f t="shared" si="8"/>
        <v>6.7790956442201127</v>
      </c>
      <c r="AB11" s="21">
        <f t="shared" si="9"/>
        <v>0</v>
      </c>
      <c r="AC11" s="21">
        <f t="shared" si="80"/>
        <v>0</v>
      </c>
      <c r="AD11" s="18">
        <f>LIT_FEC!$B191*$D$8/SUM($D$5:$D$8)</f>
        <v>31.854400311137447</v>
      </c>
      <c r="AE11" s="18">
        <f t="shared" si="10"/>
        <v>0</v>
      </c>
      <c r="AF11" s="18">
        <f t="shared" si="11"/>
        <v>31.854400311137447</v>
      </c>
      <c r="AG11" s="21">
        <f t="shared" si="12"/>
        <v>0</v>
      </c>
      <c r="AH11" s="21">
        <f t="shared" si="13"/>
        <v>1.7501153997506784E-2</v>
      </c>
      <c r="AI11" s="18">
        <f t="shared" si="14"/>
        <v>522.88096802728251</v>
      </c>
      <c r="AJ11" s="21">
        <f t="shared" si="15"/>
        <v>1.9572416158319832E-2</v>
      </c>
      <c r="AL11" s="21">
        <f t="shared" si="81"/>
        <v>0.10374787832782556</v>
      </c>
      <c r="AM11" s="18">
        <f>LIT_FEC!$B138*$D$9/SUM($D$9:$D$13)</f>
        <v>16265.839804389874</v>
      </c>
      <c r="AN11" s="18">
        <f t="shared" si="16"/>
        <v>706.67572198076516</v>
      </c>
      <c r="AO11" s="18">
        <f t="shared" si="17"/>
        <v>15968.665301135541</v>
      </c>
      <c r="AP11" s="21">
        <f t="shared" si="18"/>
        <v>4.4253900288743167E-2</v>
      </c>
      <c r="AQ11" s="21">
        <f t="shared" si="82"/>
        <v>1</v>
      </c>
      <c r="AR11" s="18">
        <f>LIT_FEC!$B138*$D$10/SUM($D$9:$D$13)</f>
        <v>33.991068370309698</v>
      </c>
      <c r="AS11" s="18">
        <f t="shared" si="19"/>
        <v>33.991068370309698</v>
      </c>
      <c r="AT11" s="18">
        <f t="shared" si="20"/>
        <v>33.991068370309698</v>
      </c>
      <c r="AU11" s="21">
        <f t="shared" si="21"/>
        <v>1</v>
      </c>
      <c r="AV11" s="18">
        <f t="shared" si="83"/>
        <v>0.38910708924267051</v>
      </c>
      <c r="AW11" s="18">
        <f>LIT_FEC!$B138*$D$11/SUM($D$9:$D$13)</f>
        <v>2938.4781397834449</v>
      </c>
      <c r="AX11" s="65">
        <f t="shared" si="22"/>
        <v>588.8790920201053</v>
      </c>
      <c r="AY11" s="18">
        <f t="shared" si="23"/>
        <v>2900.2097806261072</v>
      </c>
      <c r="AZ11" s="21">
        <f t="shared" si="24"/>
        <v>0.20304706782037543</v>
      </c>
      <c r="BA11" s="18">
        <f t="shared" si="84"/>
        <v>0.28645992522003466</v>
      </c>
      <c r="BB11" s="18">
        <f>LIT_FEC!$B138*$D$12/SUM($D$9:$D$13)</f>
        <v>1551.9854930508841</v>
      </c>
      <c r="BC11" s="18">
        <f t="shared" si="25"/>
        <v>444.58164828193486</v>
      </c>
      <c r="BD11" s="18">
        <f t="shared" si="26"/>
        <v>1551.9854930508841</v>
      </c>
      <c r="BE11" s="21">
        <f t="shared" si="27"/>
        <v>0.28645992522003466</v>
      </c>
      <c r="BF11" s="18">
        <f t="shared" si="85"/>
        <v>1</v>
      </c>
      <c r="BG11" s="18">
        <f>LIT_FEC!$B138*$D$13/SUM($D$9:$D$13)</f>
        <v>4638.1793628521073</v>
      </c>
      <c r="BH11" s="18">
        <f t="shared" si="28"/>
        <v>4638.1793628521073</v>
      </c>
      <c r="BI11" s="18">
        <f t="shared" si="29"/>
        <v>4638.1793628521073</v>
      </c>
      <c r="BJ11" s="21">
        <f t="shared" si="30"/>
        <v>1</v>
      </c>
      <c r="BK11" s="21">
        <f t="shared" si="31"/>
        <v>0.25554134500383963</v>
      </c>
      <c r="BL11" s="18">
        <f t="shared" si="32"/>
        <v>335.44286241166992</v>
      </c>
      <c r="BM11" s="21">
        <f t="shared" si="33"/>
        <v>1.3191623852342559E-2</v>
      </c>
      <c r="BO11" s="21">
        <f t="shared" si="86"/>
        <v>1.0000000000000002</v>
      </c>
      <c r="BP11" s="18">
        <f>LIT_FEC!$B85*$D$14/SUM($D$14:$D$26)</f>
        <v>18.09963149778617</v>
      </c>
      <c r="BQ11" s="18">
        <f t="shared" si="34"/>
        <v>18.099631497786177</v>
      </c>
      <c r="BR11" s="18">
        <f t="shared" si="35"/>
        <v>18.099631497786177</v>
      </c>
      <c r="BS11" s="21">
        <f t="shared" si="36"/>
        <v>1</v>
      </c>
      <c r="BT11" s="21">
        <f t="shared" si="87"/>
        <v>0.29987344513312075</v>
      </c>
      <c r="BU11" s="18">
        <f>LIT_FEC!$B85*$D$15/SUM($D$14:$D$26)</f>
        <v>2718.801476991558</v>
      </c>
      <c r="BV11" s="18">
        <f t="shared" si="37"/>
        <v>566.05118445039159</v>
      </c>
      <c r="BW11" s="18">
        <f t="shared" si="38"/>
        <v>2697.3341918514975</v>
      </c>
      <c r="BX11" s="21">
        <f t="shared" si="39"/>
        <v>0.20985578507861649</v>
      </c>
      <c r="BY11" s="21">
        <f t="shared" si="88"/>
        <v>3.9535530762650734E-2</v>
      </c>
      <c r="BZ11" s="18">
        <f>LIT_FEC!$B85*$D$16/SUM($D$14:$D$26)</f>
        <v>0</v>
      </c>
      <c r="CA11" s="18">
        <f t="shared" si="40"/>
        <v>0</v>
      </c>
      <c r="CB11" s="18">
        <f t="shared" si="41"/>
        <v>0</v>
      </c>
      <c r="CC11" s="21">
        <f t="shared" si="42"/>
        <v>0</v>
      </c>
      <c r="CD11" s="21">
        <f t="shared" si="89"/>
        <v>0.22340296239058111</v>
      </c>
      <c r="CE11" s="18">
        <f>LIT_FEC!$B85*$D$17/SUM($D$14:D$26)</f>
        <v>1613.0094432697965</v>
      </c>
      <c r="CF11" s="18">
        <f t="shared" si="43"/>
        <v>254.28241789720894</v>
      </c>
      <c r="CG11" s="18">
        <f t="shared" si="44"/>
        <v>1607.6602286058005</v>
      </c>
      <c r="CH11" s="21">
        <f t="shared" si="45"/>
        <v>0.15816925328664033</v>
      </c>
      <c r="CI11" s="21">
        <f t="shared" si="90"/>
        <v>0.84773023186836638</v>
      </c>
      <c r="CJ11" s="18">
        <f>LIT_FEC!$B85*$D$18/SUM($D$14:D$26)</f>
        <v>76.076082958157542</v>
      </c>
      <c r="CK11" s="18">
        <f t="shared" si="46"/>
        <v>57.271723664617788</v>
      </c>
      <c r="CL11" s="18">
        <f t="shared" si="47"/>
        <v>76.001160303355491</v>
      </c>
      <c r="CM11" s="21">
        <f t="shared" si="48"/>
        <v>0.75356380660532118</v>
      </c>
      <c r="CN11" s="21">
        <f t="shared" si="91"/>
        <v>0.80215173666164452</v>
      </c>
      <c r="CO11" s="18">
        <f>LIT_FEC!$B85*$D$19/SUM($D$14:D$26)</f>
        <v>345.93258379835936</v>
      </c>
      <c r="CP11" s="18">
        <f t="shared" si="49"/>
        <v>236.52303977205241</v>
      </c>
      <c r="CQ11" s="18">
        <f t="shared" si="50"/>
        <v>344.35606335167154</v>
      </c>
      <c r="CR11" s="21">
        <f t="shared" si="51"/>
        <v>0.68685603346122792</v>
      </c>
      <c r="CS11" s="18">
        <f t="shared" si="92"/>
        <v>0.54487561397221995</v>
      </c>
      <c r="CT11" s="18">
        <f>LIT_FEC!$B85*$D$20/SUM($D$14:D$26)</f>
        <v>127.59249678842355</v>
      </c>
      <c r="CU11" s="18">
        <f t="shared" si="52"/>
        <v>37.548492667475557</v>
      </c>
      <c r="CV11" s="18">
        <f t="shared" si="53"/>
        <v>125.4836852896559</v>
      </c>
      <c r="CW11" s="21">
        <f t="shared" si="54"/>
        <v>0.29923007585250466</v>
      </c>
      <c r="CX11" s="21">
        <f t="shared" si="93"/>
        <v>0.57399873670720414</v>
      </c>
      <c r="CY11" s="18">
        <f>LIT_FEC!$B85*$D$21/SUM($D$14:D$26)</f>
        <v>2160.8987958954685</v>
      </c>
      <c r="CZ11" s="18">
        <f t="shared" si="55"/>
        <v>748.73755198912693</v>
      </c>
      <c r="DA11" s="18">
        <f t="shared" si="56"/>
        <v>2137.9529048481095</v>
      </c>
      <c r="DB11" s="21">
        <f t="shared" si="57"/>
        <v>0.3502123691739229</v>
      </c>
      <c r="DC11" s="21">
        <f t="shared" si="94"/>
        <v>0.60839829735909468</v>
      </c>
      <c r="DD11" s="18">
        <f>LIT_FEC!$B85*$D$22/SUM($D$14:D$26)</f>
        <v>525.03429058361701</v>
      </c>
      <c r="DE11" s="18">
        <f t="shared" si="58"/>
        <v>198.60899228894093</v>
      </c>
      <c r="DF11" s="18">
        <f t="shared" si="59"/>
        <v>518.20069676012474</v>
      </c>
      <c r="DG11" s="21">
        <f t="shared" si="60"/>
        <v>0.38326654813603445</v>
      </c>
      <c r="DH11" s="21">
        <f t="shared" si="95"/>
        <v>0.52703248585434403</v>
      </c>
      <c r="DI11" s="18">
        <f>LIT_FEC!$B85*$D$23/SUM($D$14:D$26)</f>
        <v>1139.2700486384131</v>
      </c>
      <c r="DJ11" s="45">
        <f t="shared" si="61"/>
        <v>350.76946836708072</v>
      </c>
      <c r="DK11" s="18">
        <f t="shared" si="62"/>
        <v>1137.7350157698929</v>
      </c>
      <c r="DL11" s="21">
        <f t="shared" si="63"/>
        <v>0.30830506533168345</v>
      </c>
      <c r="DM11" s="21">
        <f t="shared" si="96"/>
        <v>0.53240183196032453</v>
      </c>
      <c r="DN11" s="18">
        <f>LIT_FEC!$B85*$D$24/SUM($D$14:D$26)</f>
        <v>438.0885234558188</v>
      </c>
      <c r="DO11" s="18">
        <f t="shared" si="64"/>
        <v>125.99798409058913</v>
      </c>
      <c r="DP11" s="18">
        <f t="shared" si="65"/>
        <v>436.26408896131596</v>
      </c>
      <c r="DQ11" s="21">
        <f t="shared" si="66"/>
        <v>0.28881126656693834</v>
      </c>
      <c r="DR11" s="21">
        <f t="shared" si="97"/>
        <v>0.73781902065504013</v>
      </c>
      <c r="DS11" s="18">
        <f>LIT_FEC!$B85*$D$25/SUM($D$14:D$26)</f>
        <v>305.29395845034497</v>
      </c>
      <c r="DT11" s="18">
        <f t="shared" si="67"/>
        <v>160.22046666033009</v>
      </c>
      <c r="DU11" s="18">
        <f t="shared" si="68"/>
        <v>302.55468983750563</v>
      </c>
      <c r="DV11" s="21">
        <f t="shared" si="69"/>
        <v>0.52955869481441653</v>
      </c>
      <c r="DW11" s="21">
        <f t="shared" si="98"/>
        <v>0.79859283536903625</v>
      </c>
      <c r="DX11" s="18">
        <f>LIT_FEC!$B85*$D$26/SUM($D$14:D$26)</f>
        <v>768.30324318483213</v>
      </c>
      <c r="DY11" s="18">
        <f t="shared" si="70"/>
        <v>512.78329959248163</v>
      </c>
      <c r="DZ11" s="18">
        <f t="shared" si="71"/>
        <v>768.25402868242804</v>
      </c>
      <c r="EA11" s="21">
        <f t="shared" si="72"/>
        <v>0.66746581267125393</v>
      </c>
      <c r="EB11" s="21">
        <f t="shared" si="73"/>
        <v>0.32123181289365915</v>
      </c>
      <c r="EC11" s="18">
        <f t="shared" si="74"/>
        <v>66.50418975343382</v>
      </c>
      <c r="ED11" s="21">
        <f t="shared" si="75"/>
        <v>6.4968334584838867E-3</v>
      </c>
    </row>
    <row r="12" spans="1:134" ht="19.5" customHeight="1" thickBot="1" x14ac:dyDescent="0.4">
      <c r="A12" s="77"/>
      <c r="B12" s="23" t="s">
        <v>162</v>
      </c>
      <c r="C12" s="18">
        <f t="shared" si="99"/>
        <v>394.173305430558</v>
      </c>
      <c r="D12" s="18">
        <f t="shared" si="99"/>
        <v>1540.4422083631905</v>
      </c>
      <c r="E12" s="21">
        <f t="shared" si="0"/>
        <v>0.25588321541084624</v>
      </c>
      <c r="F12" s="21">
        <f t="shared" si="101"/>
        <v>0.25588321541084624</v>
      </c>
      <c r="G12" s="55">
        <v>1</v>
      </c>
      <c r="H12" s="23" t="s">
        <v>187</v>
      </c>
      <c r="I12" s="23" t="s">
        <v>177</v>
      </c>
      <c r="J12" s="40">
        <v>1</v>
      </c>
      <c r="K12" s="84"/>
      <c r="L12" s="58">
        <f t="shared" si="100"/>
        <v>1</v>
      </c>
      <c r="M12" s="47">
        <f t="shared" si="76"/>
        <v>2029</v>
      </c>
      <c r="N12" s="21">
        <f t="shared" si="77"/>
        <v>0.21495543459209013</v>
      </c>
      <c r="O12" s="18">
        <f>LIT_FEC!B192*D$5/SUM(D$5:D$8)</f>
        <v>380.73429299628503</v>
      </c>
      <c r="P12" s="18">
        <f t="shared" si="1"/>
        <v>20.406581523906066</v>
      </c>
      <c r="Q12" s="18">
        <f t="shared" si="2"/>
        <v>369.18213009241055</v>
      </c>
      <c r="R12" s="21">
        <f t="shared" si="3"/>
        <v>5.5275106405605449E-2</v>
      </c>
      <c r="S12" s="21">
        <f t="shared" si="78"/>
        <v>5.2252921917809142E-2</v>
      </c>
      <c r="T12" s="18">
        <f>LIT_FEC!B192*D$6/SUM(D$5:D$8)</f>
        <v>26276.440060213874</v>
      </c>
      <c r="U12" s="18">
        <f t="shared" si="4"/>
        <v>552.19013502688426</v>
      </c>
      <c r="V12" s="18">
        <f t="shared" si="5"/>
        <v>25591.642752891843</v>
      </c>
      <c r="W12" s="21">
        <f t="shared" si="6"/>
        <v>2.1576971058822985E-2</v>
      </c>
      <c r="X12" s="21">
        <f t="shared" si="79"/>
        <v>0</v>
      </c>
      <c r="Y12" s="18">
        <f>LIT_FEC!$B192*$D$7/SUM($D$5:$D$8)</f>
        <v>6.7741682494947923</v>
      </c>
      <c r="Z12" s="18">
        <f t="shared" si="7"/>
        <v>0</v>
      </c>
      <c r="AA12" s="18">
        <f t="shared" si="8"/>
        <v>6.7741682494947923</v>
      </c>
      <c r="AB12" s="21">
        <f t="shared" si="9"/>
        <v>0</v>
      </c>
      <c r="AC12" s="21">
        <f t="shared" si="80"/>
        <v>0</v>
      </c>
      <c r="AD12" s="18">
        <f>LIT_FEC!$B192*$D$8/SUM($D$5:$D$8)</f>
        <v>31.831246897716408</v>
      </c>
      <c r="AE12" s="18">
        <f t="shared" si="10"/>
        <v>0</v>
      </c>
      <c r="AF12" s="18">
        <f t="shared" si="11"/>
        <v>31.831246897716408</v>
      </c>
      <c r="AG12" s="21">
        <f t="shared" si="12"/>
        <v>0</v>
      </c>
      <c r="AH12" s="21">
        <f t="shared" si="13"/>
        <v>2.2023433205455349E-2</v>
      </c>
      <c r="AI12" s="18">
        <f t="shared" si="14"/>
        <v>696.34947022590495</v>
      </c>
      <c r="AJ12" s="21">
        <f t="shared" si="15"/>
        <v>2.6084627468019914E-2</v>
      </c>
      <c r="AL12" s="21">
        <f t="shared" si="81"/>
        <v>0.11336733165642719</v>
      </c>
      <c r="AM12" s="18">
        <f>LIT_FEC!$B139*$D$9/SUM($D$9:$D$13)</f>
        <v>16290.212263177087</v>
      </c>
      <c r="AN12" s="18">
        <f t="shared" si="16"/>
        <v>773.35540362221991</v>
      </c>
      <c r="AO12" s="18">
        <f t="shared" si="17"/>
        <v>15894.161262613608</v>
      </c>
      <c r="AP12" s="21">
        <f t="shared" si="18"/>
        <v>4.8656572111251545E-2</v>
      </c>
      <c r="AQ12" s="21">
        <f t="shared" si="82"/>
        <v>1</v>
      </c>
      <c r="AR12" s="18">
        <f>LIT_FEC!$B139*$D$10/SUM($D$9:$D$13)</f>
        <v>34.042000011279455</v>
      </c>
      <c r="AS12" s="18">
        <f t="shared" si="19"/>
        <v>34.042000011279455</v>
      </c>
      <c r="AT12" s="18">
        <f t="shared" si="20"/>
        <v>34.042000011279455</v>
      </c>
      <c r="AU12" s="21">
        <f t="shared" si="21"/>
        <v>1</v>
      </c>
      <c r="AV12" s="18">
        <f t="shared" si="83"/>
        <v>0.39468231737903442</v>
      </c>
      <c r="AW12" s="18">
        <f>LIT_FEC!$B139*$D$11/SUM($D$9:$D$13)</f>
        <v>2942.8811056444306</v>
      </c>
      <c r="AX12" s="65">
        <f t="shared" si="22"/>
        <v>598.21171488989955</v>
      </c>
      <c r="AY12" s="18">
        <f t="shared" si="23"/>
        <v>2891.8800212034312</v>
      </c>
      <c r="AZ12" s="21">
        <f t="shared" si="24"/>
        <v>0.20685910566959098</v>
      </c>
      <c r="BA12" s="18">
        <f t="shared" si="84"/>
        <v>0.29657250135467161</v>
      </c>
      <c r="BB12" s="18">
        <f>LIT_FEC!$B139*$D$12/SUM($D$9:$D$13)</f>
        <v>1554.3109618199496</v>
      </c>
      <c r="BC12" s="18">
        <f t="shared" si="25"/>
        <v>460.96588982992796</v>
      </c>
      <c r="BD12" s="18">
        <f t="shared" si="26"/>
        <v>1554.3109618199496</v>
      </c>
      <c r="BE12" s="21">
        <f t="shared" si="27"/>
        <v>0.29657250135467161</v>
      </c>
      <c r="BF12" s="18">
        <f t="shared" si="85"/>
        <v>1</v>
      </c>
      <c r="BG12" s="18">
        <f>LIT_FEC!$B139*$D$13/SUM($D$9:$D$13)</f>
        <v>4645.1291322294192</v>
      </c>
      <c r="BH12" s="18">
        <f t="shared" si="28"/>
        <v>4645.1291322294192</v>
      </c>
      <c r="BI12" s="18">
        <f t="shared" si="29"/>
        <v>4645.1291322294192</v>
      </c>
      <c r="BJ12" s="21">
        <f t="shared" si="30"/>
        <v>1</v>
      </c>
      <c r="BK12" s="21">
        <f t="shared" si="31"/>
        <v>0.2602649156114783</v>
      </c>
      <c r="BL12" s="18">
        <f t="shared" si="32"/>
        <v>447.05208500448134</v>
      </c>
      <c r="BM12" s="21">
        <f t="shared" si="33"/>
        <v>1.7554464111441487E-2</v>
      </c>
      <c r="BO12" s="21">
        <f t="shared" si="86"/>
        <v>1.0000000000000002</v>
      </c>
      <c r="BP12" s="18">
        <f>LIT_FEC!$B86*$D$14/SUM($D$14:$D$26)</f>
        <v>18.054193250192323</v>
      </c>
      <c r="BQ12" s="18">
        <f t="shared" si="34"/>
        <v>18.054193250192331</v>
      </c>
      <c r="BR12" s="18">
        <f t="shared" si="35"/>
        <v>18.054193250192331</v>
      </c>
      <c r="BS12" s="21">
        <f t="shared" si="36"/>
        <v>1</v>
      </c>
      <c r="BT12" s="21">
        <f t="shared" si="87"/>
        <v>0.30601248225830879</v>
      </c>
      <c r="BU12" s="18">
        <f>LIT_FEC!$B86*$D$15/SUM($D$14:$D$26)</f>
        <v>2711.9760576627077</v>
      </c>
      <c r="BV12" s="18">
        <f t="shared" si="37"/>
        <v>576.1893012611132</v>
      </c>
      <c r="BW12" s="18">
        <f t="shared" si="38"/>
        <v>2683.4806551688362</v>
      </c>
      <c r="BX12" s="21">
        <f t="shared" si="39"/>
        <v>0.21471714362884467</v>
      </c>
      <c r="BY12" s="21">
        <f t="shared" si="88"/>
        <v>5.2611040435063025E-2</v>
      </c>
      <c r="BZ12" s="18">
        <f>LIT_FEC!$B86*$D$16/SUM($D$14:$D$26)</f>
        <v>0</v>
      </c>
      <c r="CA12" s="18">
        <f t="shared" si="40"/>
        <v>0</v>
      </c>
      <c r="CB12" s="18">
        <f t="shared" si="41"/>
        <v>0</v>
      </c>
      <c r="CC12" s="21">
        <f t="shared" si="42"/>
        <v>0</v>
      </c>
      <c r="CD12" s="21">
        <f t="shared" si="89"/>
        <v>0.22632967039821625</v>
      </c>
      <c r="CE12" s="18">
        <f>LIT_FEC!$B86*$D$17/SUM($D$14:D$26)</f>
        <v>1608.960061244341</v>
      </c>
      <c r="CF12" s="18">
        <f t="shared" si="43"/>
        <v>256.9669380118213</v>
      </c>
      <c r="CG12" s="18">
        <f t="shared" si="44"/>
        <v>1601.8595814266932</v>
      </c>
      <c r="CH12" s="21">
        <f t="shared" si="45"/>
        <v>0.16041789242410009</v>
      </c>
      <c r="CI12" s="21">
        <f t="shared" si="90"/>
        <v>0.84817716161515788</v>
      </c>
      <c r="CJ12" s="18">
        <f>LIT_FEC!$B86*$D$18/SUM($D$14:D$26)</f>
        <v>75.885097639266078</v>
      </c>
      <c r="CK12" s="18">
        <f t="shared" si="46"/>
        <v>57.158064060480015</v>
      </c>
      <c r="CL12" s="18">
        <f t="shared" si="47"/>
        <v>75.785646255890626</v>
      </c>
      <c r="CM12" s="21">
        <f t="shared" si="48"/>
        <v>0.75420698884701087</v>
      </c>
      <c r="CN12" s="21">
        <f t="shared" si="91"/>
        <v>0.80423593273915117</v>
      </c>
      <c r="CO12" s="18">
        <f>LIT_FEC!$B86*$D$19/SUM($D$14:D$26)</f>
        <v>345.06413681393701</v>
      </c>
      <c r="CP12" s="18">
        <f t="shared" si="49"/>
        <v>236.54226491203923</v>
      </c>
      <c r="CQ12" s="18">
        <f t="shared" si="50"/>
        <v>342.97148353360421</v>
      </c>
      <c r="CR12" s="21">
        <f t="shared" si="51"/>
        <v>0.68968493378798035</v>
      </c>
      <c r="CS12" s="18">
        <f t="shared" si="92"/>
        <v>0.55048661239069152</v>
      </c>
      <c r="CT12" s="18">
        <f>LIT_FEC!$B86*$D$20/SUM($D$14:D$26)</f>
        <v>127.27218200958959</v>
      </c>
      <c r="CU12" s="18">
        <f t="shared" si="52"/>
        <v>37.839923665754213</v>
      </c>
      <c r="CV12" s="18">
        <f t="shared" si="53"/>
        <v>124.47297232615595</v>
      </c>
      <c r="CW12" s="21">
        <f t="shared" si="54"/>
        <v>0.30400112537364687</v>
      </c>
      <c r="CX12" s="21">
        <f t="shared" si="93"/>
        <v>0.57787725676926072</v>
      </c>
      <c r="CY12" s="18">
        <f>LIT_FEC!$B86*$D$21/SUM($D$14:D$26)</f>
        <v>2155.4739642062073</v>
      </c>
      <c r="CZ12" s="18">
        <f t="shared" si="55"/>
        <v>751.90441515869145</v>
      </c>
      <c r="DA12" s="18">
        <f t="shared" si="56"/>
        <v>2125.015878951875</v>
      </c>
      <c r="DB12" s="21">
        <f t="shared" si="57"/>
        <v>0.35383472782780073</v>
      </c>
      <c r="DC12" s="21">
        <f t="shared" si="94"/>
        <v>0.61301378972902332</v>
      </c>
      <c r="DD12" s="18">
        <f>LIT_FEC!$B86*$D$22/SUM($D$14:D$26)</f>
        <v>523.71621744529284</v>
      </c>
      <c r="DE12" s="18">
        <f t="shared" si="58"/>
        <v>199.61331904199815</v>
      </c>
      <c r="DF12" s="18">
        <f t="shared" si="59"/>
        <v>514.6453915253137</v>
      </c>
      <c r="DG12" s="21">
        <f t="shared" si="60"/>
        <v>0.38786574664621248</v>
      </c>
      <c r="DH12" s="21">
        <f t="shared" si="95"/>
        <v>0.52754101175058887</v>
      </c>
      <c r="DI12" s="18">
        <f>LIT_FEC!$B86*$D$23/SUM($D$14:D$26)</f>
        <v>1136.4099664012349</v>
      </c>
      <c r="DJ12" s="45">
        <f t="shared" si="61"/>
        <v>350.2264812526891</v>
      </c>
      <c r="DK12" s="18">
        <f t="shared" si="62"/>
        <v>1134.3723832068804</v>
      </c>
      <c r="DL12" s="21">
        <f t="shared" si="63"/>
        <v>0.30874031000525232</v>
      </c>
      <c r="DM12" s="21">
        <f t="shared" si="96"/>
        <v>0.53381535125419732</v>
      </c>
      <c r="DN12" s="18">
        <f>LIT_FEC!$B86*$D$24/SUM($D$14:D$26)</f>
        <v>436.98872345164506</v>
      </c>
      <c r="DO12" s="18">
        <f t="shared" si="64"/>
        <v>126.01535531143321</v>
      </c>
      <c r="DP12" s="18">
        <f t="shared" si="65"/>
        <v>434.56699220312555</v>
      </c>
      <c r="DQ12" s="21">
        <f t="shared" si="66"/>
        <v>0.28997912306356449</v>
      </c>
      <c r="DR12" s="21">
        <f t="shared" si="97"/>
        <v>0.7406003106248672</v>
      </c>
      <c r="DS12" s="18">
        <f>LIT_FEC!$B86*$D$25/SUM($D$14:D$26)</f>
        <v>304.52753276512209</v>
      </c>
      <c r="DT12" s="18">
        <f t="shared" si="67"/>
        <v>160.42069338630756</v>
      </c>
      <c r="DU12" s="18">
        <f t="shared" si="68"/>
        <v>300.89146229079722</v>
      </c>
      <c r="DV12" s="21">
        <f t="shared" si="69"/>
        <v>0.53315136350152947</v>
      </c>
      <c r="DW12" s="21">
        <f t="shared" si="98"/>
        <v>0.79861882304419518</v>
      </c>
      <c r="DX12" s="18">
        <f>LIT_FEC!$B86*$D$26/SUM($D$14:D$26)</f>
        <v>766.37445513214391</v>
      </c>
      <c r="DY12" s="18">
        <f t="shared" si="70"/>
        <v>511.51262699037051</v>
      </c>
      <c r="DZ12" s="18">
        <f t="shared" si="71"/>
        <v>766.30912842476619</v>
      </c>
      <c r="EA12" s="21">
        <f t="shared" si="72"/>
        <v>0.66750167525975024</v>
      </c>
      <c r="EB12" s="21">
        <f t="shared" si="73"/>
        <v>0.32427440332501506</v>
      </c>
      <c r="EC12" s="18">
        <f t="shared" si="74"/>
        <v>88.276819457549209</v>
      </c>
      <c r="ED12" s="21">
        <f t="shared" si="75"/>
        <v>8.6455186307265487E-3</v>
      </c>
    </row>
    <row r="13" spans="1:134" ht="19.5" customHeight="1" thickBot="1" x14ac:dyDescent="0.4">
      <c r="A13" s="77"/>
      <c r="B13" s="23" t="s">
        <v>179</v>
      </c>
      <c r="C13" s="18">
        <f t="shared" si="99"/>
        <v>4603.6817305883296</v>
      </c>
      <c r="D13" s="18">
        <f t="shared" si="99"/>
        <v>4603.6817305883296</v>
      </c>
      <c r="E13" s="21">
        <f t="shared" si="0"/>
        <v>1</v>
      </c>
      <c r="F13" s="21">
        <f t="shared" si="101"/>
        <v>1</v>
      </c>
      <c r="G13" s="55">
        <v>1</v>
      </c>
      <c r="H13" s="23" t="s">
        <v>187</v>
      </c>
      <c r="I13" s="23" t="s">
        <v>180</v>
      </c>
      <c r="J13" s="40">
        <v>1</v>
      </c>
      <c r="K13" s="84"/>
      <c r="L13" s="58">
        <f t="shared" si="100"/>
        <v>1</v>
      </c>
      <c r="M13" s="47">
        <f t="shared" si="76"/>
        <v>2030</v>
      </c>
      <c r="N13" s="21">
        <f t="shared" si="77"/>
        <v>0.22781483451908166</v>
      </c>
      <c r="O13" s="18">
        <f>LIT_FEC!B193*D$5/SUM(D$5:D$8)</f>
        <v>380.3292267939035</v>
      </c>
      <c r="P13" s="18">
        <f t="shared" si="1"/>
        <v>21.604366398959165</v>
      </c>
      <c r="Q13" s="18">
        <f t="shared" si="2"/>
        <v>364.30182030128896</v>
      </c>
      <c r="R13" s="21">
        <f t="shared" si="3"/>
        <v>5.9303481879644966E-2</v>
      </c>
      <c r="S13" s="21">
        <f t="shared" si="78"/>
        <v>6.6289349920960527E-2</v>
      </c>
      <c r="T13" s="18">
        <f>LIT_FEC!B193*D$6/SUM(D$5:D$8)</f>
        <v>26248.484349412174</v>
      </c>
      <c r="U13" s="18">
        <f t="shared" si="4"/>
        <v>699.77678018622146</v>
      </c>
      <c r="V13" s="18">
        <f t="shared" si="5"/>
        <v>25342.142214825424</v>
      </c>
      <c r="W13" s="21">
        <f t="shared" si="6"/>
        <v>2.7613166016282734E-2</v>
      </c>
      <c r="X13" s="21">
        <f t="shared" si="79"/>
        <v>0</v>
      </c>
      <c r="Y13" s="18">
        <f>LIT_FEC!$B193*$D$7/SUM($D$5:$D$8)</f>
        <v>6.7669611587294147</v>
      </c>
      <c r="Z13" s="18">
        <f t="shared" si="7"/>
        <v>0</v>
      </c>
      <c r="AA13" s="18">
        <f t="shared" si="8"/>
        <v>6.7669611587294147</v>
      </c>
      <c r="AB13" s="21">
        <f t="shared" si="9"/>
        <v>0</v>
      </c>
      <c r="AC13" s="21">
        <f t="shared" si="80"/>
        <v>0</v>
      </c>
      <c r="AD13" s="18">
        <f>LIT_FEC!$B193*$D$8/SUM($D$5:$D$8)</f>
        <v>31.797381384325288</v>
      </c>
      <c r="AE13" s="18">
        <f t="shared" si="10"/>
        <v>0</v>
      </c>
      <c r="AF13" s="18">
        <f t="shared" si="11"/>
        <v>31.797381384325288</v>
      </c>
      <c r="AG13" s="21">
        <f t="shared" si="12"/>
        <v>0</v>
      </c>
      <c r="AH13" s="21">
        <f t="shared" si="13"/>
        <v>2.8020233514892891E-2</v>
      </c>
      <c r="AI13" s="18">
        <f t="shared" si="14"/>
        <v>922.36954107936253</v>
      </c>
      <c r="AJ13" s="21">
        <f t="shared" si="15"/>
        <v>3.4587935262689204E-2</v>
      </c>
      <c r="AL13" s="21">
        <f t="shared" si="81"/>
        <v>0.12592791493291239</v>
      </c>
      <c r="AM13" s="18">
        <f>LIT_FEC!$B140*$D$9/SUM($D$9:$D$13)</f>
        <v>16309.118292083605</v>
      </c>
      <c r="AN13" s="18">
        <f t="shared" si="16"/>
        <v>860.03663583284185</v>
      </c>
      <c r="AO13" s="18">
        <f t="shared" si="17"/>
        <v>15783.932102476974</v>
      </c>
      <c r="AP13" s="21">
        <f t="shared" si="18"/>
        <v>5.4488110456194637E-2</v>
      </c>
      <c r="AQ13" s="21">
        <f t="shared" si="82"/>
        <v>1</v>
      </c>
      <c r="AR13" s="18">
        <f>LIT_FEC!$B140*$D$10/SUM($D$9:$D$13)</f>
        <v>34.081508338479324</v>
      </c>
      <c r="AS13" s="18">
        <f t="shared" si="19"/>
        <v>34.081508338479324</v>
      </c>
      <c r="AT13" s="18">
        <f t="shared" si="20"/>
        <v>34.081508338479324</v>
      </c>
      <c r="AU13" s="21">
        <f t="shared" si="21"/>
        <v>1</v>
      </c>
      <c r="AV13" s="18">
        <f t="shared" si="83"/>
        <v>0.40196216113938488</v>
      </c>
      <c r="AW13" s="18">
        <f>LIT_FEC!$B140*$D$11/SUM($D$9:$D$13)</f>
        <v>2946.2965427395952</v>
      </c>
      <c r="AX13" s="65">
        <f t="shared" si="22"/>
        <v>609.9526973015179</v>
      </c>
      <c r="AY13" s="18">
        <f t="shared" si="23"/>
        <v>2878.6661992604313</v>
      </c>
      <c r="AZ13" s="21">
        <f t="shared" si="24"/>
        <v>0.21188726134979563</v>
      </c>
      <c r="BA13" s="18">
        <f t="shared" si="84"/>
        <v>0.30977697881715222</v>
      </c>
      <c r="BB13" s="18">
        <f>LIT_FEC!$B140*$D$12/SUM($D$9:$D$13)</f>
        <v>1556.1148577728779</v>
      </c>
      <c r="BC13" s="18">
        <f t="shared" si="25"/>
        <v>482.04855933336466</v>
      </c>
      <c r="BD13" s="18">
        <f t="shared" si="26"/>
        <v>1556.1148577728777</v>
      </c>
      <c r="BE13" s="21">
        <f t="shared" si="27"/>
        <v>0.30977697881715227</v>
      </c>
      <c r="BF13" s="18">
        <f t="shared" si="85"/>
        <v>1</v>
      </c>
      <c r="BG13" s="18">
        <f>LIT_FEC!$B140*$D$13/SUM($D$9:$D$13)</f>
        <v>4650.5201574800203</v>
      </c>
      <c r="BH13" s="18">
        <f t="shared" si="28"/>
        <v>4650.5201574800203</v>
      </c>
      <c r="BI13" s="18">
        <f t="shared" si="29"/>
        <v>4650.5201574800203</v>
      </c>
      <c r="BJ13" s="21">
        <f t="shared" si="30"/>
        <v>1</v>
      </c>
      <c r="BK13" s="21">
        <f t="shared" si="31"/>
        <v>0.26649623171997161</v>
      </c>
      <c r="BL13" s="18">
        <f t="shared" si="32"/>
        <v>592.81653308579553</v>
      </c>
      <c r="BM13" s="21">
        <f t="shared" si="33"/>
        <v>2.3251234658004154E-2</v>
      </c>
      <c r="BO13" s="21">
        <f t="shared" si="86"/>
        <v>1.0000000000000002</v>
      </c>
      <c r="BP13" s="18">
        <f>LIT_FEC!$B87*$D$14/SUM($D$14:$D$26)</f>
        <v>18.002794651315931</v>
      </c>
      <c r="BQ13" s="18">
        <f t="shared" si="34"/>
        <v>18.002794651315938</v>
      </c>
      <c r="BR13" s="18">
        <f t="shared" si="35"/>
        <v>18.002794651315938</v>
      </c>
      <c r="BS13" s="21">
        <f t="shared" si="36"/>
        <v>1</v>
      </c>
      <c r="BT13" s="21">
        <f t="shared" si="87"/>
        <v>0.31402851855624336</v>
      </c>
      <c r="BU13" s="18">
        <f>LIT_FEC!$B87*$D$15/SUM($D$14:$D$26)</f>
        <v>2704.2553155825431</v>
      </c>
      <c r="BV13" s="18">
        <f t="shared" si="37"/>
        <v>589.59932766226507</v>
      </c>
      <c r="BW13" s="18">
        <f t="shared" si="38"/>
        <v>2666.6200418058788</v>
      </c>
      <c r="BX13" s="21">
        <f t="shared" si="39"/>
        <v>0.22110361372030293</v>
      </c>
      <c r="BY13" s="21">
        <f t="shared" si="88"/>
        <v>6.9684362848770012E-2</v>
      </c>
      <c r="BZ13" s="18">
        <f>LIT_FEC!$B87*$D$16/SUM($D$14:$D$26)</f>
        <v>0</v>
      </c>
      <c r="CA13" s="18">
        <f t="shared" si="40"/>
        <v>0</v>
      </c>
      <c r="CB13" s="18">
        <f t="shared" si="41"/>
        <v>0</v>
      </c>
      <c r="CC13" s="21">
        <f t="shared" si="42"/>
        <v>0</v>
      </c>
      <c r="CD13" s="21">
        <f t="shared" si="89"/>
        <v>0.2301512139308986</v>
      </c>
      <c r="CE13" s="18">
        <f>LIT_FEC!$B87*$D$17/SUM($D$14:D$26)</f>
        <v>1604.3795024982362</v>
      </c>
      <c r="CF13" s="18">
        <f t="shared" si="43"/>
        <v>260.56187422104813</v>
      </c>
      <c r="CG13" s="18">
        <f t="shared" si="44"/>
        <v>1595.0015510220176</v>
      </c>
      <c r="CH13" s="21">
        <f t="shared" si="45"/>
        <v>0.16336151777036817</v>
      </c>
      <c r="CI13" s="21">
        <f t="shared" si="90"/>
        <v>0.84876073930003748</v>
      </c>
      <c r="CJ13" s="18">
        <f>LIT_FEC!$B87*$D$18/SUM($D$14:D$26)</f>
        <v>75.669059866754978</v>
      </c>
      <c r="CK13" s="18">
        <f t="shared" si="46"/>
        <v>57.03455533122294</v>
      </c>
      <c r="CL13" s="18">
        <f t="shared" si="47"/>
        <v>75.537709553608565</v>
      </c>
      <c r="CM13" s="21">
        <f t="shared" si="48"/>
        <v>0.7550474546854764</v>
      </c>
      <c r="CN13" s="21">
        <f t="shared" si="91"/>
        <v>0.80695736788746764</v>
      </c>
      <c r="CO13" s="18">
        <f>LIT_FEC!$B87*$D$19/SUM($D$14:D$26)</f>
        <v>344.0817715036211</v>
      </c>
      <c r="CP13" s="18">
        <f t="shared" si="49"/>
        <v>236.66700230151022</v>
      </c>
      <c r="CQ13" s="18">
        <f t="shared" si="50"/>
        <v>341.31790181826057</v>
      </c>
      <c r="CR13" s="21">
        <f t="shared" si="51"/>
        <v>0.69339170620920676</v>
      </c>
      <c r="CS13" s="18">
        <f t="shared" si="92"/>
        <v>0.55781316313031493</v>
      </c>
      <c r="CT13" s="18">
        <f>LIT_FEC!$B87*$D$20/SUM($D$14:D$26)</f>
        <v>126.90985001609747</v>
      </c>
      <c r="CU13" s="18">
        <f t="shared" si="52"/>
        <v>38.234383280675701</v>
      </c>
      <c r="CV13" s="18">
        <f t="shared" si="53"/>
        <v>123.21279668207382</v>
      </c>
      <c r="CW13" s="21">
        <f t="shared" si="54"/>
        <v>0.31031178830663136</v>
      </c>
      <c r="CX13" s="21">
        <f t="shared" si="93"/>
        <v>0.58294162712013398</v>
      </c>
      <c r="CY13" s="18">
        <f>LIT_FEC!$B87*$D$21/SUM($D$14:D$26)</f>
        <v>2149.337531514951</v>
      </c>
      <c r="CZ13" s="18">
        <f t="shared" si="55"/>
        <v>756.33455437339694</v>
      </c>
      <c r="DA13" s="18">
        <f t="shared" si="56"/>
        <v>2109.1100464844699</v>
      </c>
      <c r="DB13" s="21">
        <f t="shared" si="57"/>
        <v>0.35860364689556096</v>
      </c>
      <c r="DC13" s="21">
        <f t="shared" si="94"/>
        <v>0.61904046029897108</v>
      </c>
      <c r="DD13" s="18">
        <f>LIT_FEC!$B87*$D$22/SUM($D$14:D$26)</f>
        <v>522.22524637765764</v>
      </c>
      <c r="DE13" s="18">
        <f t="shared" si="58"/>
        <v>201.00189323601555</v>
      </c>
      <c r="DF13" s="18">
        <f t="shared" si="59"/>
        <v>510.24496229666272</v>
      </c>
      <c r="DG13" s="21">
        <f t="shared" si="60"/>
        <v>0.39393214649545244</v>
      </c>
      <c r="DH13" s="21">
        <f t="shared" si="95"/>
        <v>0.52820501849295154</v>
      </c>
      <c r="DI13" s="18">
        <f>LIT_FEC!$B87*$D$23/SUM($D$14:D$26)</f>
        <v>1133.1747135592632</v>
      </c>
      <c r="DJ13" s="45">
        <f t="shared" si="61"/>
        <v>349.66898825734023</v>
      </c>
      <c r="DK13" s="18">
        <f t="shared" si="62"/>
        <v>1130.4835776337834</v>
      </c>
      <c r="DL13" s="21">
        <f t="shared" si="63"/>
        <v>0.30930921525568095</v>
      </c>
      <c r="DM13" s="21">
        <f t="shared" si="96"/>
        <v>0.53566105144079923</v>
      </c>
      <c r="DN13" s="18">
        <f>LIT_FEC!$B87*$D$24/SUM($D$14:D$26)</f>
        <v>435.74465744443319</v>
      </c>
      <c r="DO13" s="18">
        <f t="shared" si="64"/>
        <v>126.09106699673004</v>
      </c>
      <c r="DP13" s="18">
        <f t="shared" si="65"/>
        <v>432.54615836827037</v>
      </c>
      <c r="DQ13" s="21">
        <f t="shared" si="66"/>
        <v>0.29150892813935464</v>
      </c>
      <c r="DR13" s="21">
        <f t="shared" si="97"/>
        <v>0.74423197482538828</v>
      </c>
      <c r="DS13" s="18">
        <f>LIT_FEC!$B87*$D$25/SUM($D$14:D$26)</f>
        <v>303.66057137357694</v>
      </c>
      <c r="DT13" s="18">
        <f t="shared" si="67"/>
        <v>160.74840231461178</v>
      </c>
      <c r="DU13" s="18">
        <f t="shared" si="68"/>
        <v>298.85823500363483</v>
      </c>
      <c r="DV13" s="21">
        <f t="shared" si="69"/>
        <v>0.53787509757814334</v>
      </c>
      <c r="DW13" s="21">
        <f t="shared" si="98"/>
        <v>0.79865275640265587</v>
      </c>
      <c r="DX13" s="18">
        <f>LIT_FEC!$B87*$D$26/SUM($D$14:D$26)</f>
        <v>764.19265876702343</v>
      </c>
      <c r="DY13" s="18">
        <f t="shared" si="70"/>
        <v>510.07807072778394</v>
      </c>
      <c r="DZ13" s="18">
        <f t="shared" si="71"/>
        <v>764.10637858489156</v>
      </c>
      <c r="EA13" s="21">
        <f t="shared" si="72"/>
        <v>0.66754850505558849</v>
      </c>
      <c r="EB13" s="21">
        <f t="shared" si="73"/>
        <v>0.32826717094990771</v>
      </c>
      <c r="EC13" s="18">
        <f t="shared" si="74"/>
        <v>116.59151925060723</v>
      </c>
      <c r="ED13" s="21">
        <f t="shared" si="75"/>
        <v>1.1451160294443536E-2</v>
      </c>
    </row>
    <row r="14" spans="1:134" ht="19.5" customHeight="1" thickBot="1" x14ac:dyDescent="0.4">
      <c r="A14" s="77" t="s">
        <v>126</v>
      </c>
      <c r="B14" s="31" t="s">
        <v>31</v>
      </c>
      <c r="C14" s="34">
        <v>20.100000000000001</v>
      </c>
      <c r="D14" s="34">
        <v>20.100000000000001</v>
      </c>
      <c r="E14" s="21">
        <f t="shared" si="0"/>
        <v>1</v>
      </c>
      <c r="F14" s="21">
        <f t="shared" si="101"/>
        <v>1.0000000000000002</v>
      </c>
      <c r="G14" s="55">
        <v>1</v>
      </c>
      <c r="H14" s="23" t="s">
        <v>187</v>
      </c>
      <c r="I14" s="23" t="s">
        <v>185</v>
      </c>
      <c r="J14" s="56">
        <f>'Efficiency Assumptions'!G62</f>
        <v>1.5</v>
      </c>
      <c r="K14" s="84"/>
      <c r="L14" s="58">
        <f t="shared" si="100"/>
        <v>1</v>
      </c>
      <c r="M14" s="47">
        <f t="shared" si="76"/>
        <v>2031</v>
      </c>
      <c r="N14" s="21">
        <f t="shared" si="77"/>
        <v>0.24442644163228952</v>
      </c>
      <c r="O14" s="18">
        <f>LIT_FEC!B194*D$5/SUM(D$5:D$8)</f>
        <v>379.79228997321792</v>
      </c>
      <c r="P14" s="18">
        <f t="shared" si="1"/>
        <v>23.146970733230045</v>
      </c>
      <c r="Q14" s="18">
        <f t="shared" si="2"/>
        <v>357.99875577788094</v>
      </c>
      <c r="R14" s="21">
        <f t="shared" si="3"/>
        <v>6.4656567542909285E-2</v>
      </c>
      <c r="S14" s="21">
        <f t="shared" si="78"/>
        <v>8.4421426735195607E-2</v>
      </c>
      <c r="T14" s="18">
        <f>LIT_FEC!B194*D$6/SUM(D$5:D$8)</f>
        <v>26211.427566126811</v>
      </c>
      <c r="U14" s="18">
        <f t="shared" si="4"/>
        <v>889.92805626328618</v>
      </c>
      <c r="V14" s="18">
        <f t="shared" si="5"/>
        <v>25019.640438824361</v>
      </c>
      <c r="W14" s="21">
        <f t="shared" si="6"/>
        <v>3.5569178479573013E-2</v>
      </c>
      <c r="X14" s="21">
        <f t="shared" si="79"/>
        <v>0</v>
      </c>
      <c r="Y14" s="18">
        <f>LIT_FEC!$B194*$D$7/SUM($D$5:$D$8)</f>
        <v>6.7574077761484848</v>
      </c>
      <c r="Z14" s="18">
        <f t="shared" si="7"/>
        <v>0</v>
      </c>
      <c r="AA14" s="18">
        <f t="shared" si="8"/>
        <v>6.7574077761484848</v>
      </c>
      <c r="AB14" s="21">
        <f t="shared" si="9"/>
        <v>0</v>
      </c>
      <c r="AC14" s="21">
        <f t="shared" si="80"/>
        <v>0</v>
      </c>
      <c r="AD14" s="18">
        <f>LIT_FEC!$B194*$D$8/SUM($D$5:$D$8)</f>
        <v>31.752490843015721</v>
      </c>
      <c r="AE14" s="18">
        <f t="shared" si="10"/>
        <v>0</v>
      </c>
      <c r="AF14" s="18">
        <f t="shared" si="11"/>
        <v>31.752490843015721</v>
      </c>
      <c r="AG14" s="21">
        <f t="shared" si="12"/>
        <v>0</v>
      </c>
      <c r="AH14" s="21">
        <f t="shared" si="13"/>
        <v>3.5924994917504526E-2</v>
      </c>
      <c r="AI14" s="18">
        <f t="shared" si="14"/>
        <v>1213.5806614977882</v>
      </c>
      <c r="AJ14" s="21">
        <f t="shared" si="15"/>
        <v>4.5572398694084498E-2</v>
      </c>
      <c r="AL14" s="21">
        <f t="shared" si="81"/>
        <v>0.14215351454769282</v>
      </c>
      <c r="AM14" s="18">
        <f>LIT_FEC!$B141*$D$9/SUM($D$9:$D$13)</f>
        <v>16322.360328803928</v>
      </c>
      <c r="AN14" s="18">
        <f t="shared" si="16"/>
        <v>971.63918030670516</v>
      </c>
      <c r="AO14" s="18">
        <f t="shared" si="17"/>
        <v>15630.391350556791</v>
      </c>
      <c r="AP14" s="21">
        <f t="shared" si="18"/>
        <v>6.2163458259929819E-2</v>
      </c>
      <c r="AQ14" s="21">
        <f t="shared" si="82"/>
        <v>1</v>
      </c>
      <c r="AR14" s="18">
        <f>LIT_FEC!$B141*$D$10/SUM($D$9:$D$13)</f>
        <v>34.109180501794313</v>
      </c>
      <c r="AS14" s="18">
        <f t="shared" si="19"/>
        <v>34.109180501794313</v>
      </c>
      <c r="AT14" s="18">
        <f t="shared" si="20"/>
        <v>34.109180501794313</v>
      </c>
      <c r="AU14" s="21">
        <f t="shared" si="21"/>
        <v>1</v>
      </c>
      <c r="AV14" s="18">
        <f t="shared" si="83"/>
        <v>0.41136616949739935</v>
      </c>
      <c r="AW14" s="18">
        <f>LIT_FEC!$B141*$D$11/SUM($D$9:$D$13)</f>
        <v>2948.6887607803992</v>
      </c>
      <c r="AX14" s="65">
        <f t="shared" si="22"/>
        <v>624.72952966519836</v>
      </c>
      <c r="AY14" s="18">
        <f t="shared" si="23"/>
        <v>2859.5811250468082</v>
      </c>
      <c r="AZ14" s="21">
        <f t="shared" si="24"/>
        <v>0.21846889538934561</v>
      </c>
      <c r="BA14" s="18">
        <f t="shared" si="84"/>
        <v>0.32683435264386795</v>
      </c>
      <c r="BB14" s="18">
        <f>LIT_FEC!$B141*$D$12/SUM($D$9:$D$13)</f>
        <v>1557.3783307404919</v>
      </c>
      <c r="BC14" s="18">
        <f t="shared" si="25"/>
        <v>509.00473854915634</v>
      </c>
      <c r="BD14" s="18">
        <f t="shared" si="26"/>
        <v>1557.3783307404922</v>
      </c>
      <c r="BE14" s="21">
        <f t="shared" si="27"/>
        <v>0.3268343526438679</v>
      </c>
      <c r="BF14" s="18">
        <f t="shared" si="85"/>
        <v>1</v>
      </c>
      <c r="BG14" s="18">
        <f>LIT_FEC!$B141*$D$13/SUM($D$9:$D$13)</f>
        <v>4654.296104014411</v>
      </c>
      <c r="BH14" s="18">
        <f t="shared" si="28"/>
        <v>4654.296104014411</v>
      </c>
      <c r="BI14" s="18">
        <f t="shared" si="29"/>
        <v>4654.296104014411</v>
      </c>
      <c r="BJ14" s="21">
        <f t="shared" si="30"/>
        <v>1</v>
      </c>
      <c r="BK14" s="21">
        <f t="shared" si="31"/>
        <v>0.27465417705778244</v>
      </c>
      <c r="BL14" s="18">
        <f t="shared" si="32"/>
        <v>781.07661398072742</v>
      </c>
      <c r="BM14" s="21">
        <f t="shared" si="33"/>
        <v>3.0610249438698653E-2</v>
      </c>
      <c r="BO14" s="21">
        <f t="shared" si="86"/>
        <v>1.0000000000000002</v>
      </c>
      <c r="BP14" s="18">
        <f>LIT_FEC!$B88*$D$14/SUM($D$14:$D$26)</f>
        <v>17.945291093478193</v>
      </c>
      <c r="BQ14" s="18">
        <f t="shared" si="34"/>
        <v>17.9452910934782</v>
      </c>
      <c r="BR14" s="18">
        <f t="shared" si="35"/>
        <v>17.9452910934782</v>
      </c>
      <c r="BS14" s="21">
        <f t="shared" si="36"/>
        <v>1</v>
      </c>
      <c r="BT14" s="21">
        <f t="shared" si="87"/>
        <v>0.3243835309473741</v>
      </c>
      <c r="BU14" s="18">
        <f>LIT_FEC!$B88*$D$15/SUM($D$14:$D$26)</f>
        <v>2695.6175287855776</v>
      </c>
      <c r="BV14" s="18">
        <f t="shared" si="37"/>
        <v>607.0958523430487</v>
      </c>
      <c r="BW14" s="18">
        <f t="shared" si="38"/>
        <v>2646.2289522969081</v>
      </c>
      <c r="BX14" s="21">
        <f t="shared" si="39"/>
        <v>0.22941924651534545</v>
      </c>
      <c r="BY14" s="21">
        <f t="shared" si="88"/>
        <v>9.1739460727662855E-2</v>
      </c>
      <c r="BZ14" s="18">
        <f>LIT_FEC!$B88*$D$16/SUM($D$14:$D$26)</f>
        <v>0</v>
      </c>
      <c r="CA14" s="18">
        <f t="shared" si="40"/>
        <v>0</v>
      </c>
      <c r="CB14" s="18">
        <f t="shared" si="41"/>
        <v>0</v>
      </c>
      <c r="CC14" s="21">
        <f t="shared" si="42"/>
        <v>0</v>
      </c>
      <c r="CD14" s="21">
        <f t="shared" si="89"/>
        <v>0.23508783462014965</v>
      </c>
      <c r="CE14" s="18">
        <f>LIT_FEC!$B88*$D$17/SUM($D$14:D$26)</f>
        <v>1599.2548798325633</v>
      </c>
      <c r="CF14" s="18">
        <f t="shared" si="43"/>
        <v>265.30066281922592</v>
      </c>
      <c r="CG14" s="18">
        <f t="shared" si="44"/>
        <v>1586.9482422739056</v>
      </c>
      <c r="CH14" s="21">
        <f t="shared" si="45"/>
        <v>0.16717663232613184</v>
      </c>
      <c r="CI14" s="21">
        <f t="shared" si="90"/>
        <v>0.84951459743309909</v>
      </c>
      <c r="CJ14" s="18">
        <f>LIT_FEC!$B88*$D$18/SUM($D$14:D$26)</f>
        <v>75.427361827930923</v>
      </c>
      <c r="CK14" s="18">
        <f t="shared" si="46"/>
        <v>56.902874159414125</v>
      </c>
      <c r="CL14" s="18">
        <f t="shared" si="47"/>
        <v>75.254991486582043</v>
      </c>
      <c r="CM14" s="21">
        <f t="shared" si="48"/>
        <v>0.75613421828052296</v>
      </c>
      <c r="CN14" s="21">
        <f t="shared" si="91"/>
        <v>0.81047288274232632</v>
      </c>
      <c r="CO14" s="18">
        <f>LIT_FEC!$B88*$D$19/SUM($D$14:D$26)</f>
        <v>342.98272402617164</v>
      </c>
      <c r="CP14" s="18">
        <f t="shared" si="49"/>
        <v>236.93880128852027</v>
      </c>
      <c r="CQ14" s="18">
        <f t="shared" si="50"/>
        <v>339.35571203284366</v>
      </c>
      <c r="CR14" s="21">
        <f t="shared" si="51"/>
        <v>0.69820189520071718</v>
      </c>
      <c r="CS14" s="18">
        <f t="shared" si="92"/>
        <v>0.56727750696226531</v>
      </c>
      <c r="CT14" s="18">
        <f>LIT_FEC!$B88*$D$20/SUM($D$14:D$26)</f>
        <v>126.50448140295019</v>
      </c>
      <c r="CU14" s="18">
        <f t="shared" si="52"/>
        <v>38.758902810287239</v>
      </c>
      <c r="CV14" s="18">
        <f t="shared" si="53"/>
        <v>121.65285730015617</v>
      </c>
      <c r="CW14" s="21">
        <f t="shared" si="54"/>
        <v>0.31860248637363886</v>
      </c>
      <c r="CX14" s="21">
        <f t="shared" si="93"/>
        <v>0.58948371547745348</v>
      </c>
      <c r="CY14" s="18">
        <f>LIT_FEC!$B88*$D$21/SUM($D$14:D$26)</f>
        <v>2142.4722332404272</v>
      </c>
      <c r="CZ14" s="18">
        <f t="shared" si="55"/>
        <v>762.37959753682276</v>
      </c>
      <c r="DA14" s="18">
        <f t="shared" si="56"/>
        <v>2089.6819112365356</v>
      </c>
      <c r="DB14" s="21">
        <f t="shared" si="57"/>
        <v>0.36483045263367231</v>
      </c>
      <c r="DC14" s="21">
        <f t="shared" si="94"/>
        <v>0.62682563567862248</v>
      </c>
      <c r="DD14" s="18">
        <f>LIT_FEC!$B88*$D$22/SUM($D$14:D$26)</f>
        <v>520.55718259972582</v>
      </c>
      <c r="DE14" s="18">
        <f t="shared" si="58"/>
        <v>202.87962911804763</v>
      </c>
      <c r="DF14" s="18">
        <f t="shared" si="59"/>
        <v>504.83551732896387</v>
      </c>
      <c r="DG14" s="21">
        <f t="shared" si="60"/>
        <v>0.40187273310614952</v>
      </c>
      <c r="DH14" s="21">
        <f t="shared" si="95"/>
        <v>0.52906277384602174</v>
      </c>
      <c r="DI14" s="18">
        <f>LIT_FEC!$B88*$D$23/SUM($D$14:D$26)</f>
        <v>1129.555187872086</v>
      </c>
      <c r="DJ14" s="45">
        <f t="shared" si="61"/>
        <v>349.11811026605221</v>
      </c>
      <c r="DK14" s="18">
        <f t="shared" si="62"/>
        <v>1126.0236240183012</v>
      </c>
      <c r="DL14" s="21">
        <f t="shared" si="63"/>
        <v>0.31004510280183784</v>
      </c>
      <c r="DM14" s="21">
        <f t="shared" si="96"/>
        <v>0.5380453031572614</v>
      </c>
      <c r="DN14" s="18">
        <f>LIT_FEC!$B88*$D$24/SUM($D$14:D$26)</f>
        <v>434.35282530963684</v>
      </c>
      <c r="DO14" s="18">
        <f t="shared" si="64"/>
        <v>126.24775810023998</v>
      </c>
      <c r="DP14" s="18">
        <f t="shared" si="65"/>
        <v>430.15545139894277</v>
      </c>
      <c r="DQ14" s="21">
        <f t="shared" si="66"/>
        <v>0.29349333523418009</v>
      </c>
      <c r="DR14" s="21">
        <f t="shared" si="97"/>
        <v>0.74892331184023075</v>
      </c>
      <c r="DS14" s="18">
        <f>LIT_FEC!$B88*$D$25/SUM($D$14:D$26)</f>
        <v>302.69063511827761</v>
      </c>
      <c r="DT14" s="18">
        <f t="shared" si="67"/>
        <v>161.24500465125323</v>
      </c>
      <c r="DU14" s="18">
        <f t="shared" si="68"/>
        <v>296.3885537639959</v>
      </c>
      <c r="DV14" s="21">
        <f t="shared" si="69"/>
        <v>0.54403249586907843</v>
      </c>
      <c r="DW14" s="21">
        <f t="shared" si="98"/>
        <v>0.79869659107783364</v>
      </c>
      <c r="DX14" s="18">
        <f>LIT_FEC!$B88*$D$26/SUM($D$14:D$26)</f>
        <v>761.75171570214377</v>
      </c>
      <c r="DY14" s="18">
        <f t="shared" si="70"/>
        <v>508.47671341121111</v>
      </c>
      <c r="DZ14" s="18">
        <f t="shared" si="71"/>
        <v>761.63849066225271</v>
      </c>
      <c r="EA14" s="21">
        <f t="shared" si="72"/>
        <v>0.66760900301806603</v>
      </c>
      <c r="EB14" s="21">
        <f t="shared" si="73"/>
        <v>0.3334586486827455</v>
      </c>
      <c r="EC14" s="18">
        <f t="shared" si="74"/>
        <v>153.00245191810063</v>
      </c>
      <c r="ED14" s="21">
        <f t="shared" si="75"/>
        <v>1.5075452040770083E-2</v>
      </c>
    </row>
    <row r="15" spans="1:134" ht="19.5" customHeight="1" thickBot="1" x14ac:dyDescent="0.4">
      <c r="A15" s="77"/>
      <c r="B15" s="31" t="s">
        <v>33</v>
      </c>
      <c r="C15" s="34">
        <v>589.70000000000005</v>
      </c>
      <c r="D15" s="34">
        <v>3019.2829999999999</v>
      </c>
      <c r="E15" s="21">
        <f t="shared" si="0"/>
        <v>0.19531127092094383</v>
      </c>
      <c r="F15" s="21">
        <f t="shared" si="101"/>
        <v>0.28131125542146357</v>
      </c>
      <c r="G15" s="49">
        <f>63%</f>
        <v>0.63</v>
      </c>
      <c r="H15" s="23" t="s">
        <v>187</v>
      </c>
      <c r="I15" s="23" t="s">
        <v>182</v>
      </c>
      <c r="J15" s="56">
        <f>'Efficiency Assumptions'!G63</f>
        <v>1.6126750903840015</v>
      </c>
      <c r="K15" s="84"/>
      <c r="L15" s="58">
        <f t="shared" si="100"/>
        <v>0.7330419030080636</v>
      </c>
      <c r="M15" s="47">
        <f t="shared" si="76"/>
        <v>2032</v>
      </c>
      <c r="N15" s="21">
        <f t="shared" si="77"/>
        <v>0.26558964167292304</v>
      </c>
      <c r="O15" s="18">
        <f>LIT_FEC!B195*D$5/SUM(D$5:D$8)</f>
        <v>379.11878216210135</v>
      </c>
      <c r="P15" s="18">
        <f t="shared" si="1"/>
        <v>25.106505384828363</v>
      </c>
      <c r="Q15" s="18">
        <f t="shared" si="2"/>
        <v>350.00209615377935</v>
      </c>
      <c r="R15" s="21">
        <f t="shared" si="3"/>
        <v>7.1732442921705802E-2</v>
      </c>
      <c r="S15" s="21">
        <f t="shared" si="78"/>
        <v>0.1075217063262464</v>
      </c>
      <c r="T15" s="18">
        <f>LIT_FEC!B195*D$6/SUM(D$5:D$8)</f>
        <v>26164.94531339981</v>
      </c>
      <c r="U15" s="18">
        <f t="shared" si="4"/>
        <v>1131.429545960053</v>
      </c>
      <c r="V15" s="18">
        <f t="shared" si="5"/>
        <v>24610.632158417753</v>
      </c>
      <c r="W15" s="21">
        <f t="shared" si="6"/>
        <v>4.5973201284594471E-2</v>
      </c>
      <c r="X15" s="21">
        <f t="shared" si="79"/>
        <v>0</v>
      </c>
      <c r="Y15" s="18">
        <f>LIT_FEC!$B195*$D$7/SUM($D$5:$D$8)</f>
        <v>6.745424470956964</v>
      </c>
      <c r="Z15" s="18">
        <f t="shared" si="7"/>
        <v>0</v>
      </c>
      <c r="AA15" s="18">
        <f t="shared" si="8"/>
        <v>6.745424470956964</v>
      </c>
      <c r="AB15" s="21">
        <f t="shared" si="9"/>
        <v>0</v>
      </c>
      <c r="AC15" s="21">
        <f t="shared" si="80"/>
        <v>0</v>
      </c>
      <c r="AD15" s="18">
        <f>LIT_FEC!$B195*$D$8/SUM($D$5:$D$8)</f>
        <v>31.696182299715154</v>
      </c>
      <c r="AE15" s="18">
        <f t="shared" si="10"/>
        <v>0</v>
      </c>
      <c r="AF15" s="18">
        <f t="shared" si="11"/>
        <v>31.696182299715154</v>
      </c>
      <c r="AG15" s="21">
        <f t="shared" si="12"/>
        <v>0</v>
      </c>
      <c r="AH15" s="21">
        <f t="shared" si="13"/>
        <v>4.6263152196490312E-2</v>
      </c>
      <c r="AI15" s="18">
        <f t="shared" si="14"/>
        <v>1583.4298409903822</v>
      </c>
      <c r="AJ15" s="21">
        <f t="shared" si="15"/>
        <v>5.956661342318223E-2</v>
      </c>
      <c r="AL15" s="21">
        <f t="shared" si="81"/>
        <v>0.1628249407430426</v>
      </c>
      <c r="AM15" s="18">
        <f>LIT_FEC!$B142*$D$9/SUM($D$9:$D$13)</f>
        <v>16329.697975263451</v>
      </c>
      <c r="AN15" s="18">
        <f t="shared" si="16"/>
        <v>1113.4315867905448</v>
      </c>
      <c r="AO15" s="18">
        <f t="shared" si="17"/>
        <v>15425.384509914395</v>
      </c>
      <c r="AP15" s="21">
        <f t="shared" si="18"/>
        <v>7.2181771940589626E-2</v>
      </c>
      <c r="AQ15" s="21">
        <f t="shared" si="82"/>
        <v>1</v>
      </c>
      <c r="AR15" s="18">
        <f>LIT_FEC!$B142*$D$10/SUM($D$9:$D$13)</f>
        <v>34.124514136299645</v>
      </c>
      <c r="AS15" s="18">
        <f t="shared" si="19"/>
        <v>34.124514136299645</v>
      </c>
      <c r="AT15" s="18">
        <f t="shared" si="20"/>
        <v>34.124514136299645</v>
      </c>
      <c r="AU15" s="21">
        <f t="shared" si="21"/>
        <v>1</v>
      </c>
      <c r="AV15" s="18">
        <f t="shared" si="83"/>
        <v>0.42334688326628028</v>
      </c>
      <c r="AW15" s="18">
        <f>LIT_FEC!$B142*$D$11/SUM($D$9:$D$13)</f>
        <v>2950.0143310539329</v>
      </c>
      <c r="AX15" s="65">
        <f t="shared" si="22"/>
        <v>643.21330608433891</v>
      </c>
      <c r="AY15" s="18">
        <f t="shared" si="23"/>
        <v>2833.5622394248699</v>
      </c>
      <c r="AZ15" s="21">
        <f t="shared" si="24"/>
        <v>0.22699812170523997</v>
      </c>
      <c r="BA15" s="18">
        <f t="shared" si="84"/>
        <v>0.34856545981504772</v>
      </c>
      <c r="BB15" s="18">
        <f>LIT_FEC!$B142*$D$12/SUM($D$9:$D$13)</f>
        <v>1558.0784434303539</v>
      </c>
      <c r="BC15" s="18">
        <f t="shared" si="25"/>
        <v>543.09232906221507</v>
      </c>
      <c r="BD15" s="18">
        <f t="shared" si="26"/>
        <v>1558.0784434303539</v>
      </c>
      <c r="BE15" s="21">
        <f t="shared" si="27"/>
        <v>0.34856545981504766</v>
      </c>
      <c r="BF15" s="18">
        <f t="shared" si="85"/>
        <v>1</v>
      </c>
      <c r="BG15" s="18">
        <f>LIT_FEC!$B142*$D$13/SUM($D$9:$D$13)</f>
        <v>4656.3884226889913</v>
      </c>
      <c r="BH15" s="18">
        <f t="shared" si="28"/>
        <v>4656.3884226889913</v>
      </c>
      <c r="BI15" s="18">
        <f t="shared" si="29"/>
        <v>4656.3884226889913</v>
      </c>
      <c r="BJ15" s="21">
        <f t="shared" si="30"/>
        <v>1</v>
      </c>
      <c r="BK15" s="21">
        <f t="shared" si="31"/>
        <v>0.28522857423696413</v>
      </c>
      <c r="BL15" s="18">
        <f t="shared" si="32"/>
        <v>1020.7655569781127</v>
      </c>
      <c r="BM15" s="21">
        <f t="shared" si="33"/>
        <v>3.9985639841592722E-2</v>
      </c>
      <c r="BO15" s="21">
        <f t="shared" si="86"/>
        <v>1.0000000000000002</v>
      </c>
      <c r="BP15" s="18">
        <f>LIT_FEC!$B89*$D$14/SUM($D$14:$D$26)</f>
        <v>17.881493957967642</v>
      </c>
      <c r="BQ15" s="18">
        <f t="shared" si="34"/>
        <v>17.881493957967649</v>
      </c>
      <c r="BR15" s="18">
        <f t="shared" si="35"/>
        <v>17.881493957967649</v>
      </c>
      <c r="BS15" s="21">
        <f t="shared" si="36"/>
        <v>1</v>
      </c>
      <c r="BT15" s="21">
        <f t="shared" si="87"/>
        <v>0.33757582457455093</v>
      </c>
      <c r="BU15" s="18">
        <f>LIT_FEC!$B89*$D$15/SUM($D$14:$D$26)</f>
        <v>2686.0343642733537</v>
      </c>
      <c r="BV15" s="18">
        <f t="shared" si="37"/>
        <v>629.53966543706747</v>
      </c>
      <c r="BW15" s="18">
        <f t="shared" si="38"/>
        <v>2621.7482785773664</v>
      </c>
      <c r="BX15" s="21">
        <f t="shared" si="39"/>
        <v>0.24012208593064213</v>
      </c>
      <c r="BY15" s="21">
        <f t="shared" si="88"/>
        <v>0.11983767212562231</v>
      </c>
      <c r="BZ15" s="18">
        <f>LIT_FEC!$B89*$D$16/SUM($D$14:$D$26)</f>
        <v>0</v>
      </c>
      <c r="CA15" s="18">
        <f t="shared" si="40"/>
        <v>0</v>
      </c>
      <c r="CB15" s="18">
        <f t="shared" si="41"/>
        <v>0</v>
      </c>
      <c r="CC15" s="21">
        <f t="shared" si="42"/>
        <v>0</v>
      </c>
      <c r="CD15" s="21">
        <f t="shared" si="89"/>
        <v>0.24137709311629371</v>
      </c>
      <c r="CE15" s="18">
        <f>LIT_FEC!$B89*$D$17/SUM($D$14:D$26)</f>
        <v>1593.5693838574286</v>
      </c>
      <c r="CF15" s="18">
        <f t="shared" si="43"/>
        <v>271.42979887756945</v>
      </c>
      <c r="CG15" s="18">
        <f t="shared" si="44"/>
        <v>1577.550587346725</v>
      </c>
      <c r="CH15" s="21">
        <f t="shared" si="45"/>
        <v>0.1720577463915664</v>
      </c>
      <c r="CI15" s="21">
        <f t="shared" si="90"/>
        <v>0.8504750132654455</v>
      </c>
      <c r="CJ15" s="18">
        <f>LIT_FEC!$B89*$D$18/SUM($D$14:D$26)</f>
        <v>75.15921072362876</v>
      </c>
      <c r="CK15" s="18">
        <f t="shared" si="46"/>
        <v>56.764681933551302</v>
      </c>
      <c r="CL15" s="18">
        <f t="shared" si="47"/>
        <v>74.9348468054271</v>
      </c>
      <c r="CM15" s="21">
        <f t="shared" si="48"/>
        <v>0.75752049084645845</v>
      </c>
      <c r="CN15" s="21">
        <f t="shared" si="91"/>
        <v>0.81495165132938485</v>
      </c>
      <c r="CO15" s="18">
        <f>LIT_FEC!$B89*$D$19/SUM($D$14:D$26)</f>
        <v>341.76338937127559</v>
      </c>
      <c r="CP15" s="18">
        <f t="shared" si="49"/>
        <v>237.4011592381508</v>
      </c>
      <c r="CQ15" s="18">
        <f t="shared" si="50"/>
        <v>337.042329960362</v>
      </c>
      <c r="CR15" s="21">
        <f t="shared" si="51"/>
        <v>0.704366004311893</v>
      </c>
      <c r="CS15" s="18">
        <f t="shared" si="92"/>
        <v>0.57933508817062707</v>
      </c>
      <c r="CT15" s="18">
        <f>LIT_FEC!$B89*$D$20/SUM($D$14:D$26)</f>
        <v>126.05474651145606</v>
      </c>
      <c r="CU15" s="18">
        <f t="shared" si="52"/>
        <v>39.442009780633832</v>
      </c>
      <c r="CV15" s="18">
        <f t="shared" si="53"/>
        <v>119.73968450701679</v>
      </c>
      <c r="CW15" s="21">
        <f t="shared" si="54"/>
        <v>0.32939797647723479</v>
      </c>
      <c r="CX15" s="21">
        <f t="shared" si="93"/>
        <v>0.59781834099838638</v>
      </c>
      <c r="CY15" s="18">
        <f>LIT_FEC!$B89*$D$21/SUM($D$14:D$26)</f>
        <v>2134.8555503635853</v>
      </c>
      <c r="CZ15" s="18">
        <f t="shared" si="55"/>
        <v>770.41012360303182</v>
      </c>
      <c r="DA15" s="18">
        <f t="shared" si="56"/>
        <v>2066.1416208369965</v>
      </c>
      <c r="DB15" s="21">
        <f t="shared" si="57"/>
        <v>0.37287382231375688</v>
      </c>
      <c r="DC15" s="21">
        <f t="shared" si="94"/>
        <v>0.63674395500727909</v>
      </c>
      <c r="DD15" s="18">
        <f>LIT_FEC!$B89*$D$22/SUM($D$14:D$26)</f>
        <v>518.70655465803839</v>
      </c>
      <c r="DE15" s="18">
        <f t="shared" si="58"/>
        <v>205.35714408233389</v>
      </c>
      <c r="DF15" s="18">
        <f t="shared" si="59"/>
        <v>498.24262569439009</v>
      </c>
      <c r="DG15" s="21">
        <f t="shared" si="60"/>
        <v>0.41216293727605507</v>
      </c>
      <c r="DH15" s="21">
        <f t="shared" si="95"/>
        <v>0.53015555481533072</v>
      </c>
      <c r="DI15" s="18">
        <f>LIT_FEC!$B89*$D$23/SUM($D$14:D$26)</f>
        <v>1125.5395168522098</v>
      </c>
      <c r="DJ15" s="45">
        <f t="shared" si="61"/>
        <v>348.59550481599734</v>
      </c>
      <c r="DK15" s="18">
        <f t="shared" si="62"/>
        <v>1120.9426964397535</v>
      </c>
      <c r="DL15" s="21">
        <f t="shared" si="63"/>
        <v>0.31098423311305551</v>
      </c>
      <c r="DM15" s="21">
        <f t="shared" si="96"/>
        <v>0.54108284164940379</v>
      </c>
      <c r="DN15" s="18">
        <f>LIT_FEC!$B89*$D$24/SUM($D$14:D$26)</f>
        <v>432.80866166741322</v>
      </c>
      <c r="DO15" s="18">
        <f t="shared" si="64"/>
        <v>126.50913464871518</v>
      </c>
      <c r="DP15" s="18">
        <f t="shared" si="65"/>
        <v>427.34519707488965</v>
      </c>
      <c r="DQ15" s="21">
        <f t="shared" si="66"/>
        <v>0.29603499820437951</v>
      </c>
      <c r="DR15" s="21">
        <f t="shared" si="97"/>
        <v>0.75490007874944809</v>
      </c>
      <c r="DS15" s="18">
        <f>LIT_FEC!$B89*$D$25/SUM($D$14:D$26)</f>
        <v>301.61454248953032</v>
      </c>
      <c r="DT15" s="18">
        <f t="shared" si="67"/>
        <v>161.95400172278519</v>
      </c>
      <c r="DU15" s="18">
        <f t="shared" si="68"/>
        <v>293.411509099868</v>
      </c>
      <c r="DV15" s="21">
        <f t="shared" si="69"/>
        <v>0.55196881069740578</v>
      </c>
      <c r="DW15" s="21">
        <f t="shared" si="98"/>
        <v>0.79875243648720196</v>
      </c>
      <c r="DX15" s="18">
        <f>LIT_FEC!$B89*$D$26/SUM($D$14:D$26)</f>
        <v>759.04361934533927</v>
      </c>
      <c r="DY15" s="18">
        <f t="shared" si="70"/>
        <v>506.70445927554613</v>
      </c>
      <c r="DZ15" s="18">
        <f t="shared" si="71"/>
        <v>758.89624124427087</v>
      </c>
      <c r="EA15" s="21">
        <f t="shared" si="72"/>
        <v>0.66768608373229488</v>
      </c>
      <c r="EB15" s="21">
        <f t="shared" si="73"/>
        <v>0.34012820004058336</v>
      </c>
      <c r="EC15" s="18">
        <f t="shared" si="74"/>
        <v>199.15392252619495</v>
      </c>
      <c r="ED15" s="21">
        <f t="shared" si="75"/>
        <v>1.9692802469925878E-2</v>
      </c>
    </row>
    <row r="16" spans="1:134" ht="19.5" customHeight="1" thickBot="1" x14ac:dyDescent="0.4">
      <c r="A16" s="77"/>
      <c r="B16" s="31" t="s">
        <v>34</v>
      </c>
      <c r="C16" s="34">
        <v>0</v>
      </c>
      <c r="D16" s="34">
        <v>0</v>
      </c>
      <c r="E16" s="21">
        <f t="shared" si="0"/>
        <v>0</v>
      </c>
      <c r="F16" s="21">
        <f t="shared" si="101"/>
        <v>0</v>
      </c>
      <c r="G16" s="55">
        <v>0.94</v>
      </c>
      <c r="H16" s="23" t="s">
        <v>187</v>
      </c>
      <c r="I16" s="23" t="s">
        <v>181</v>
      </c>
      <c r="J16" s="56">
        <f>'Efficiency Assumptions'!G64</f>
        <v>1.6220785298610838</v>
      </c>
      <c r="K16" s="84"/>
      <c r="L16" s="58">
        <f t="shared" si="100"/>
        <v>0.96213922988171541</v>
      </c>
      <c r="M16" s="47">
        <f t="shared" si="76"/>
        <v>2033</v>
      </c>
      <c r="N16" s="21">
        <f t="shared" si="77"/>
        <v>0.29208040047467487</v>
      </c>
      <c r="O16" s="18">
        <f>LIT_FEC!B196*D$5/SUM(D$5:D$8)</f>
        <v>378.46488740516969</v>
      </c>
      <c r="P16" s="18">
        <f t="shared" si="1"/>
        <v>27.563086117640136</v>
      </c>
      <c r="Q16" s="18">
        <f t="shared" si="2"/>
        <v>340.19927871712287</v>
      </c>
      <c r="R16" s="21">
        <f t="shared" si="3"/>
        <v>8.1020413157780261E-2</v>
      </c>
      <c r="S16" s="21">
        <f t="shared" si="78"/>
        <v>0.13643717911507894</v>
      </c>
      <c r="T16" s="18">
        <f>LIT_FEC!B196*D$6/SUM(D$5:D$8)</f>
        <v>26119.816658843942</v>
      </c>
      <c r="U16" s="18">
        <f t="shared" si="4"/>
        <v>1433.2250568814452</v>
      </c>
      <c r="V16" s="18">
        <f t="shared" si="5"/>
        <v>24112.538873283804</v>
      </c>
      <c r="W16" s="21">
        <f t="shared" si="6"/>
        <v>5.943899414380744E-2</v>
      </c>
      <c r="X16" s="21">
        <f t="shared" si="79"/>
        <v>0</v>
      </c>
      <c r="Y16" s="18">
        <f>LIT_FEC!$B196*$D$7/SUM($D$5:$D$8)</f>
        <v>6.7337901286284652</v>
      </c>
      <c r="Z16" s="18">
        <f t="shared" si="7"/>
        <v>0</v>
      </c>
      <c r="AA16" s="18">
        <f t="shared" si="8"/>
        <v>6.7337901286284652</v>
      </c>
      <c r="AB16" s="21">
        <f t="shared" si="9"/>
        <v>0</v>
      </c>
      <c r="AC16" s="21">
        <f t="shared" si="80"/>
        <v>0</v>
      </c>
      <c r="AD16" s="18">
        <f>LIT_FEC!$B196*$D$8/SUM($D$5:$D$8)</f>
        <v>31.641513503560201</v>
      </c>
      <c r="AE16" s="18">
        <f t="shared" si="10"/>
        <v>0</v>
      </c>
      <c r="AF16" s="18">
        <f t="shared" si="11"/>
        <v>31.641513503560201</v>
      </c>
      <c r="AG16" s="21">
        <f t="shared" si="12"/>
        <v>0</v>
      </c>
      <c r="AH16" s="21">
        <f t="shared" si="13"/>
        <v>5.9645640270515936E-2</v>
      </c>
      <c r="AI16" s="18">
        <f t="shared" si="14"/>
        <v>2045.5433942481868</v>
      </c>
      <c r="AJ16" s="21">
        <f t="shared" si="15"/>
        <v>7.7083688643218684E-2</v>
      </c>
      <c r="AL16" s="21">
        <f t="shared" si="81"/>
        <v>0.18870012806716308</v>
      </c>
      <c r="AM16" s="18">
        <f>LIT_FEC!$B143*$D$9/SUM($D$9:$D$13)</f>
        <v>16337.834030799757</v>
      </c>
      <c r="AN16" s="18">
        <f t="shared" si="16"/>
        <v>1291.0145333701153</v>
      </c>
      <c r="AO16" s="18">
        <f t="shared" si="17"/>
        <v>15167.52771217689</v>
      </c>
      <c r="AP16" s="21">
        <f t="shared" si="18"/>
        <v>8.5117005082750219E-2</v>
      </c>
      <c r="AQ16" s="21">
        <f t="shared" si="82"/>
        <v>1</v>
      </c>
      <c r="AR16" s="18">
        <f>LIT_FEC!$B143*$D$10/SUM($D$9:$D$13)</f>
        <v>34.141516223085517</v>
      </c>
      <c r="AS16" s="18">
        <f t="shared" si="19"/>
        <v>34.141516223085517</v>
      </c>
      <c r="AT16" s="18">
        <f t="shared" si="20"/>
        <v>34.141516223085517</v>
      </c>
      <c r="AU16" s="21">
        <f t="shared" si="21"/>
        <v>1</v>
      </c>
      <c r="AV16" s="18">
        <f t="shared" si="83"/>
        <v>0.43834358499923576</v>
      </c>
      <c r="AW16" s="18">
        <f>LIT_FEC!$B143*$D$11/SUM($D$9:$D$13)</f>
        <v>2951.4841365865714</v>
      </c>
      <c r="AX16" s="65">
        <f t="shared" si="22"/>
        <v>666.33041301158551</v>
      </c>
      <c r="AY16" s="18">
        <f t="shared" si="23"/>
        <v>2800.7790726099583</v>
      </c>
      <c r="AZ16" s="21">
        <f t="shared" si="24"/>
        <v>0.23790895166559961</v>
      </c>
      <c r="BA16" s="18">
        <f t="shared" si="84"/>
        <v>0.37576708893831096</v>
      </c>
      <c r="BB16" s="18">
        <f>LIT_FEC!$B143*$D$12/SUM($D$9:$D$13)</f>
        <v>1558.8547353596275</v>
      </c>
      <c r="BC16" s="18">
        <f t="shared" si="25"/>
        <v>585.76630598378836</v>
      </c>
      <c r="BD16" s="18">
        <f t="shared" si="26"/>
        <v>1558.8547353596277</v>
      </c>
      <c r="BE16" s="21">
        <f t="shared" si="27"/>
        <v>0.3757670889383109</v>
      </c>
      <c r="BF16" s="18">
        <f t="shared" si="85"/>
        <v>1</v>
      </c>
      <c r="BG16" s="18">
        <f>LIT_FEC!$B143*$D$13/SUM($D$9:$D$13)</f>
        <v>4658.7084064916926</v>
      </c>
      <c r="BH16" s="18">
        <f t="shared" si="28"/>
        <v>4658.7084064916926</v>
      </c>
      <c r="BI16" s="18">
        <f t="shared" si="29"/>
        <v>4658.7084064916926</v>
      </c>
      <c r="BJ16" s="21">
        <f t="shared" si="30"/>
        <v>1</v>
      </c>
      <c r="BK16" s="21">
        <f t="shared" si="31"/>
        <v>0.298759610091474</v>
      </c>
      <c r="BL16" s="18">
        <f t="shared" si="32"/>
        <v>1321.011382599474</v>
      </c>
      <c r="BM16" s="21">
        <f t="shared" si="33"/>
        <v>5.1721162133045645E-2</v>
      </c>
      <c r="BO16" s="21">
        <f t="shared" si="86"/>
        <v>1.0000000000000002</v>
      </c>
      <c r="BP16" s="18">
        <f>LIT_FEC!$B90*$D$14/SUM($D$14:$D$26)</f>
        <v>17.818790810983636</v>
      </c>
      <c r="BQ16" s="18">
        <f t="shared" si="34"/>
        <v>17.818790810983643</v>
      </c>
      <c r="BR16" s="18">
        <f t="shared" si="35"/>
        <v>17.818790810983643</v>
      </c>
      <c r="BS16" s="21">
        <f t="shared" si="36"/>
        <v>1</v>
      </c>
      <c r="BT16" s="21">
        <f t="shared" si="87"/>
        <v>0.35408910554569129</v>
      </c>
      <c r="BU16" s="18">
        <f>LIT_FEC!$B90*$D$15/SUM($D$14:$D$26)</f>
        <v>2676.6155311521939</v>
      </c>
      <c r="BV16" s="18">
        <f t="shared" si="37"/>
        <v>658.01948749436986</v>
      </c>
      <c r="BW16" s="18">
        <f t="shared" si="38"/>
        <v>2593.7534881922752</v>
      </c>
      <c r="BX16" s="21">
        <f t="shared" si="39"/>
        <v>0.2536939190597402</v>
      </c>
      <c r="BY16" s="21">
        <f t="shared" si="88"/>
        <v>0.15500924067266783</v>
      </c>
      <c r="BZ16" s="18">
        <f>LIT_FEC!$B90*$D$16/SUM($D$14:$D$26)</f>
        <v>0</v>
      </c>
      <c r="CA16" s="18">
        <f t="shared" si="40"/>
        <v>0</v>
      </c>
      <c r="CB16" s="18">
        <f t="shared" si="41"/>
        <v>0</v>
      </c>
      <c r="CC16" s="21">
        <f t="shared" si="42"/>
        <v>0</v>
      </c>
      <c r="CD16" s="21">
        <f t="shared" si="89"/>
        <v>0.24924959016510173</v>
      </c>
      <c r="CE16" s="18">
        <f>LIT_FEC!$B90*$D$17/SUM($D$14:D$26)</f>
        <v>1587.9813823436791</v>
      </c>
      <c r="CF16" s="18">
        <f t="shared" si="43"/>
        <v>279.29962590676274</v>
      </c>
      <c r="CG16" s="18">
        <f t="shared" si="44"/>
        <v>1567.3338317848659</v>
      </c>
      <c r="CH16" s="21">
        <f t="shared" si="45"/>
        <v>0.17820047027805097</v>
      </c>
      <c r="CI16" s="21">
        <f t="shared" si="90"/>
        <v>0.85167720121978241</v>
      </c>
      <c r="CJ16" s="18">
        <f>LIT_FEC!$B90*$D$18/SUM($D$14:D$26)</f>
        <v>74.895657854484625</v>
      </c>
      <c r="CK16" s="18">
        <f t="shared" si="46"/>
        <v>56.645589497923368</v>
      </c>
      <c r="CL16" s="18">
        <f t="shared" si="47"/>
        <v>74.60646226219734</v>
      </c>
      <c r="CM16" s="21">
        <f t="shared" si="48"/>
        <v>0.75925848485949932</v>
      </c>
      <c r="CN16" s="21">
        <f t="shared" si="91"/>
        <v>0.82055789131865065</v>
      </c>
      <c r="CO16" s="18">
        <f>LIT_FEC!$B90*$D$19/SUM($D$14:D$26)</f>
        <v>340.56496377619538</v>
      </c>
      <c r="CP16" s="18">
        <f t="shared" si="49"/>
        <v>238.19610012505365</v>
      </c>
      <c r="CQ16" s="18">
        <f t="shared" si="50"/>
        <v>334.47971805796266</v>
      </c>
      <c r="CR16" s="21">
        <f t="shared" si="51"/>
        <v>0.7121391440654592</v>
      </c>
      <c r="CS16" s="18">
        <f t="shared" si="92"/>
        <v>0.59442800771540139</v>
      </c>
      <c r="CT16" s="18">
        <f>LIT_FEC!$B90*$D$20/SUM($D$14:D$26)</f>
        <v>125.61272364037386</v>
      </c>
      <c r="CU16" s="18">
        <f t="shared" si="52"/>
        <v>40.327648261950692</v>
      </c>
      <c r="CV16" s="18">
        <f t="shared" si="53"/>
        <v>117.47287605996573</v>
      </c>
      <c r="CW16" s="21">
        <f t="shared" si="54"/>
        <v>0.34329327428201267</v>
      </c>
      <c r="CX16" s="21">
        <f t="shared" si="93"/>
        <v>0.60825109946374301</v>
      </c>
      <c r="CY16" s="18">
        <f>LIT_FEC!$B90*$D$21/SUM($D$14:D$26)</f>
        <v>2127.3694777972364</v>
      </c>
      <c r="CZ16" s="18">
        <f t="shared" si="55"/>
        <v>781.10618680277889</v>
      </c>
      <c r="DA16" s="18">
        <f t="shared" si="56"/>
        <v>2038.8001315890513</v>
      </c>
      <c r="DB16" s="21">
        <f t="shared" si="57"/>
        <v>0.38312052991382767</v>
      </c>
      <c r="DC16" s="21">
        <f t="shared" si="94"/>
        <v>0.64915908147916057</v>
      </c>
      <c r="DD16" s="18">
        <f>LIT_FEC!$B90*$D$22/SUM($D$14:D$26)</f>
        <v>516.8876611464143</v>
      </c>
      <c r="DE16" s="18">
        <f t="shared" si="58"/>
        <v>208.62701842948604</v>
      </c>
      <c r="DF16" s="18">
        <f t="shared" si="59"/>
        <v>490.51052303703375</v>
      </c>
      <c r="DG16" s="21">
        <f t="shared" si="60"/>
        <v>0.42532628482209872</v>
      </c>
      <c r="DH16" s="21">
        <f t="shared" si="95"/>
        <v>0.53152342909830896</v>
      </c>
      <c r="DI16" s="18">
        <f>LIT_FEC!$B90*$D$23/SUM($D$14:D$26)</f>
        <v>1121.5927062597957</v>
      </c>
      <c r="DJ16" s="45">
        <f t="shared" si="61"/>
        <v>348.26939221710194</v>
      </c>
      <c r="DK16" s="18">
        <f t="shared" si="62"/>
        <v>1115.6675993510119</v>
      </c>
      <c r="DL16" s="21">
        <f t="shared" si="63"/>
        <v>0.31216232542711786</v>
      </c>
      <c r="DM16" s="21">
        <f t="shared" si="96"/>
        <v>0.5448850407209942</v>
      </c>
      <c r="DN16" s="18">
        <f>LIT_FEC!$B90*$D$24/SUM($D$14:D$26)</f>
        <v>431.29097722827873</v>
      </c>
      <c r="DO16" s="18">
        <f t="shared" si="64"/>
        <v>126.95138313735048</v>
      </c>
      <c r="DP16" s="18">
        <f t="shared" si="65"/>
        <v>424.2488026601057</v>
      </c>
      <c r="DQ16" s="21">
        <f t="shared" si="66"/>
        <v>0.29923804696995171</v>
      </c>
      <c r="DR16" s="21">
        <f t="shared" si="97"/>
        <v>0.7623814185422193</v>
      </c>
      <c r="DS16" s="18">
        <f>LIT_FEC!$B90*$D$25/SUM($D$14:D$26)</f>
        <v>300.55690261700676</v>
      </c>
      <c r="DT16" s="18">
        <f t="shared" si="67"/>
        <v>162.98549078466996</v>
      </c>
      <c r="DU16" s="18">
        <f t="shared" si="68"/>
        <v>289.98353984686901</v>
      </c>
      <c r="DV16" s="21">
        <f t="shared" si="69"/>
        <v>0.56205083526719268</v>
      </c>
      <c r="DW16" s="21">
        <f t="shared" si="98"/>
        <v>0.79882234024782983</v>
      </c>
      <c r="DX16" s="18">
        <f>LIT_FEC!$B90*$D$26/SUM($D$14:D$26)</f>
        <v>756.38196122309512</v>
      </c>
      <c r="DY16" s="18">
        <f t="shared" si="70"/>
        <v>504.97184158308096</v>
      </c>
      <c r="DZ16" s="18">
        <f t="shared" si="71"/>
        <v>756.19199708995689</v>
      </c>
      <c r="EA16" s="21">
        <f t="shared" si="72"/>
        <v>0.66778257840119581</v>
      </c>
      <c r="EB16" s="21">
        <f t="shared" si="73"/>
        <v>0.34856579260087506</v>
      </c>
      <c r="EC16" s="18">
        <f t="shared" si="74"/>
        <v>256.70097510746018</v>
      </c>
      <c r="ED16" s="21">
        <f t="shared" si="75"/>
        <v>2.5472510467160335E-2</v>
      </c>
    </row>
    <row r="17" spans="1:134" ht="19.5" customHeight="1" thickBot="1" x14ac:dyDescent="0.4">
      <c r="A17" s="77"/>
      <c r="B17" s="31" t="s">
        <v>164</v>
      </c>
      <c r="C17" s="34">
        <v>271.2</v>
      </c>
      <c r="D17" s="34">
        <v>1791.279</v>
      </c>
      <c r="E17" s="21">
        <f t="shared" si="0"/>
        <v>0.15140020063876147</v>
      </c>
      <c r="F17" s="21">
        <f t="shared" si="101"/>
        <v>0.2145536741128716</v>
      </c>
      <c r="G17" s="55">
        <v>0.33</v>
      </c>
      <c r="H17" s="23" t="s">
        <v>187</v>
      </c>
      <c r="I17" s="23" t="s">
        <v>182</v>
      </c>
      <c r="J17" s="56">
        <f>'Efficiency Assumptions'!G65</f>
        <v>1.5310730690932164</v>
      </c>
      <c r="K17" s="84"/>
      <c r="L17" s="58">
        <f t="shared" si="100"/>
        <v>0.42991052513458944</v>
      </c>
      <c r="M17" s="47">
        <f t="shared" si="76"/>
        <v>2034</v>
      </c>
      <c r="N17" s="21">
        <f t="shared" si="77"/>
        <v>0.3245176828358155</v>
      </c>
      <c r="O17" s="18">
        <f>LIT_FEC!B197*D$5/SUM(D$5:D$8)</f>
        <v>377.83192355117905</v>
      </c>
      <c r="P17" s="18">
        <f t="shared" si="1"/>
        <v>30.572914991593084</v>
      </c>
      <c r="Q17" s="18">
        <f t="shared" si="2"/>
        <v>328.38502733886492</v>
      </c>
      <c r="R17" s="21">
        <f t="shared" si="3"/>
        <v>9.3100818996977239E-2</v>
      </c>
      <c r="S17" s="21">
        <f t="shared" si="78"/>
        <v>0.17184346409454937</v>
      </c>
      <c r="T17" s="18">
        <f>LIT_FEC!B197*D$6/SUM(D$5:D$8)</f>
        <v>26076.132554008575</v>
      </c>
      <c r="U17" s="18">
        <f t="shared" si="4"/>
        <v>1802.1367175827399</v>
      </c>
      <c r="V17" s="18">
        <f t="shared" si="5"/>
        <v>23515.218277177231</v>
      </c>
      <c r="W17" s="21">
        <f t="shared" si="6"/>
        <v>7.6637039739146692E-2</v>
      </c>
      <c r="X17" s="21">
        <f t="shared" si="79"/>
        <v>0</v>
      </c>
      <c r="Y17" s="18">
        <f>LIT_FEC!$B197*$D$7/SUM($D$5:$D$8)</f>
        <v>6.7225281968254817</v>
      </c>
      <c r="Z17" s="18">
        <f t="shared" si="7"/>
        <v>0</v>
      </c>
      <c r="AA17" s="18">
        <f t="shared" si="8"/>
        <v>6.7225281968254817</v>
      </c>
      <c r="AB17" s="21">
        <f t="shared" si="9"/>
        <v>0</v>
      </c>
      <c r="AC17" s="21">
        <f t="shared" si="80"/>
        <v>0</v>
      </c>
      <c r="AD17" s="18">
        <f>LIT_FEC!$B197*$D$8/SUM($D$5:$D$8)</f>
        <v>31.588594633144965</v>
      </c>
      <c r="AE17" s="18">
        <f t="shared" si="10"/>
        <v>0</v>
      </c>
      <c r="AF17" s="18">
        <f t="shared" si="11"/>
        <v>31.588594633144965</v>
      </c>
      <c r="AG17" s="21">
        <f t="shared" si="12"/>
        <v>0</v>
      </c>
      <c r="AH17" s="21">
        <f t="shared" si="13"/>
        <v>7.6740482349094377E-2</v>
      </c>
      <c r="AI17" s="18">
        <f t="shared" si="14"/>
        <v>2610.3611730436605</v>
      </c>
      <c r="AJ17" s="21">
        <f t="shared" si="15"/>
        <v>9.8532916251454813E-2</v>
      </c>
      <c r="AL17" s="21">
        <f t="shared" si="81"/>
        <v>0.22038365829976631</v>
      </c>
      <c r="AM17" s="18">
        <f>LIT_FEC!$B144*$D$9/SUM($D$9:$D$13)</f>
        <v>16346.830916806875</v>
      </c>
      <c r="AN17" s="18">
        <f t="shared" si="16"/>
        <v>1508.6115032568123</v>
      </c>
      <c r="AO17" s="18">
        <f t="shared" si="17"/>
        <v>14850.551081374042</v>
      </c>
      <c r="AP17" s="21">
        <f t="shared" si="18"/>
        <v>0.10158623036884827</v>
      </c>
      <c r="AQ17" s="21">
        <f t="shared" si="82"/>
        <v>1</v>
      </c>
      <c r="AR17" s="18">
        <f>LIT_FEC!$B144*$D$10/SUM($D$9:$D$13)</f>
        <v>34.160317205455037</v>
      </c>
      <c r="AS17" s="18">
        <f t="shared" si="19"/>
        <v>34.160317205455037</v>
      </c>
      <c r="AT17" s="18">
        <f t="shared" si="20"/>
        <v>34.160317205455037</v>
      </c>
      <c r="AU17" s="21">
        <f t="shared" si="21"/>
        <v>1</v>
      </c>
      <c r="AV17" s="18">
        <f t="shared" si="83"/>
        <v>0.45670667728504505</v>
      </c>
      <c r="AW17" s="18">
        <f>LIT_FEC!$B144*$D$11/SUM($D$9:$D$13)</f>
        <v>2953.1094540110612</v>
      </c>
      <c r="AX17" s="65">
        <f t="shared" si="22"/>
        <v>694.62663605459966</v>
      </c>
      <c r="AY17" s="18">
        <f t="shared" si="23"/>
        <v>2760.4274657678725</v>
      </c>
      <c r="AZ17" s="21">
        <f t="shared" si="24"/>
        <v>0.25163734409568128</v>
      </c>
      <c r="BA17" s="18">
        <f t="shared" si="84"/>
        <v>0.4090748145175408</v>
      </c>
      <c r="BB17" s="18">
        <f>LIT_FEC!$B144*$D$12/SUM($D$9:$D$13)</f>
        <v>1559.7131623903617</v>
      </c>
      <c r="BC17" s="18">
        <f t="shared" si="25"/>
        <v>638.0393726054042</v>
      </c>
      <c r="BD17" s="18">
        <f t="shared" si="26"/>
        <v>1559.7131623903617</v>
      </c>
      <c r="BE17" s="21">
        <f t="shared" si="27"/>
        <v>0.4090748145175408</v>
      </c>
      <c r="BF17" s="18">
        <f t="shared" si="85"/>
        <v>1</v>
      </c>
      <c r="BG17" s="18">
        <f>LIT_FEC!$B144*$D$13/SUM($D$9:$D$13)</f>
        <v>4661.2738547876288</v>
      </c>
      <c r="BH17" s="18">
        <f t="shared" si="28"/>
        <v>4661.2738547876288</v>
      </c>
      <c r="BI17" s="18">
        <f t="shared" si="29"/>
        <v>4661.2738547876288</v>
      </c>
      <c r="BJ17" s="21">
        <f t="shared" si="30"/>
        <v>1</v>
      </c>
      <c r="BK17" s="21">
        <f t="shared" si="31"/>
        <v>0.31579116448656747</v>
      </c>
      <c r="BL17" s="18">
        <f t="shared" si="32"/>
        <v>1688.9618236760216</v>
      </c>
      <c r="BM17" s="21">
        <f t="shared" si="33"/>
        <v>6.6091020432391512E-2</v>
      </c>
      <c r="BO17" s="21">
        <f t="shared" si="86"/>
        <v>1.0000000000000002</v>
      </c>
      <c r="BP17" s="18">
        <f>LIT_FEC!$B91*$D$14/SUM($D$14:$D$26)</f>
        <v>17.757238238139607</v>
      </c>
      <c r="BQ17" s="18">
        <f t="shared" si="34"/>
        <v>17.757238238139614</v>
      </c>
      <c r="BR17" s="18">
        <f t="shared" si="35"/>
        <v>17.757238238139614</v>
      </c>
      <c r="BS17" s="21">
        <f t="shared" si="36"/>
        <v>1</v>
      </c>
      <c r="BT17" s="21">
        <f t="shared" si="87"/>
        <v>0.37430921179399967</v>
      </c>
      <c r="BU17" s="18">
        <f>LIT_FEC!$B91*$D$15/SUM($D$14:$D$26)</f>
        <v>2667.3695293216351</v>
      </c>
      <c r="BV17" s="18">
        <f t="shared" si="37"/>
        <v>693.19256854474804</v>
      </c>
      <c r="BW17" s="18">
        <f t="shared" si="38"/>
        <v>2561.8514174377237</v>
      </c>
      <c r="BX17" s="21">
        <f t="shared" si="39"/>
        <v>0.2705826590201143</v>
      </c>
      <c r="BY17" s="21">
        <f t="shared" si="88"/>
        <v>0.19807596098002592</v>
      </c>
      <c r="BZ17" s="18">
        <f>LIT_FEC!$B91*$D$16/SUM($D$14:$D$26)</f>
        <v>0</v>
      </c>
      <c r="CA17" s="18">
        <f t="shared" si="40"/>
        <v>0</v>
      </c>
      <c r="CB17" s="18">
        <f t="shared" si="41"/>
        <v>0</v>
      </c>
      <c r="CC17" s="21">
        <f t="shared" si="42"/>
        <v>0</v>
      </c>
      <c r="CD17" s="21">
        <f t="shared" si="89"/>
        <v>0.25888926910259391</v>
      </c>
      <c r="CE17" s="18">
        <f>LIT_FEC!$B91*$D$17/SUM($D$14:D$26)</f>
        <v>1582.4959181082825</v>
      </c>
      <c r="CF17" s="18">
        <f t="shared" si="43"/>
        <v>289.09936822184432</v>
      </c>
      <c r="CG17" s="18">
        <f t="shared" si="44"/>
        <v>1556.202931933087</v>
      </c>
      <c r="CH17" s="21">
        <f t="shared" si="45"/>
        <v>0.18577228090858969</v>
      </c>
      <c r="CI17" s="21">
        <f t="shared" si="90"/>
        <v>0.85314925079064674</v>
      </c>
      <c r="CJ17" s="18">
        <f>LIT_FEC!$B91*$D$18/SUM($D$14:D$26)</f>
        <v>74.636941060248077</v>
      </c>
      <c r="CK17" s="18">
        <f t="shared" si="46"/>
        <v>56.547483807913387</v>
      </c>
      <c r="CL17" s="18">
        <f t="shared" si="47"/>
        <v>74.2686738564324</v>
      </c>
      <c r="CM17" s="21">
        <f t="shared" si="48"/>
        <v>0.76139078391549631</v>
      </c>
      <c r="CN17" s="21">
        <f t="shared" si="91"/>
        <v>0.82742259424683207</v>
      </c>
      <c r="CO17" s="18">
        <f>LIT_FEC!$B91*$D$19/SUM($D$14:D$26)</f>
        <v>339.38852874402494</v>
      </c>
      <c r="CP17" s="18">
        <f t="shared" si="49"/>
        <v>239.35912479833533</v>
      </c>
      <c r="CQ17" s="18">
        <f t="shared" si="50"/>
        <v>331.63946034550418</v>
      </c>
      <c r="CR17" s="21">
        <f t="shared" si="51"/>
        <v>0.72174500751198123</v>
      </c>
      <c r="CS17" s="18">
        <f t="shared" si="92"/>
        <v>0.6129089163443926</v>
      </c>
      <c r="CT17" s="18">
        <f>LIT_FEC!$B91*$D$20/SUM($D$14:D$26)</f>
        <v>125.17881168731111</v>
      </c>
      <c r="CU17" s="18">
        <f t="shared" si="52"/>
        <v>41.437807065231027</v>
      </c>
      <c r="CV17" s="18">
        <f t="shared" si="53"/>
        <v>114.81337394251707</v>
      </c>
      <c r="CW17" s="21">
        <f t="shared" si="54"/>
        <v>0.36091446181154335</v>
      </c>
      <c r="CX17" s="21">
        <f t="shared" si="93"/>
        <v>0.62102575551187322</v>
      </c>
      <c r="CY17" s="18">
        <f>LIT_FEC!$B91*$D$21/SUM($D$14:D$26)</f>
        <v>2120.0207712470951</v>
      </c>
      <c r="CZ17" s="18">
        <f t="shared" si="55"/>
        <v>794.75629949148833</v>
      </c>
      <c r="DA17" s="18">
        <f t="shared" si="56"/>
        <v>2007.2348701415578</v>
      </c>
      <c r="DB17" s="21">
        <f t="shared" si="57"/>
        <v>0.39594584137303229</v>
      </c>
      <c r="DC17" s="21">
        <f t="shared" si="94"/>
        <v>0.664361098376127</v>
      </c>
      <c r="DD17" s="18">
        <f>LIT_FEC!$B91*$D$22/SUM($D$14:D$26)</f>
        <v>515.10214350089143</v>
      </c>
      <c r="DE17" s="18">
        <f t="shared" si="58"/>
        <v>212.77509880013326</v>
      </c>
      <c r="DF17" s="18">
        <f t="shared" si="59"/>
        <v>481.51299084689163</v>
      </c>
      <c r="DG17" s="21">
        <f t="shared" si="60"/>
        <v>0.44188859458578994</v>
      </c>
      <c r="DH17" s="21">
        <f t="shared" si="95"/>
        <v>0.53319835750196709</v>
      </c>
      <c r="DI17" s="18">
        <f>LIT_FEC!$B91*$D$23/SUM($D$14:D$26)</f>
        <v>1117.7183178410917</v>
      </c>
      <c r="DJ17" s="45">
        <f t="shared" si="61"/>
        <v>348.16001338149977</v>
      </c>
      <c r="DK17" s="18">
        <f t="shared" si="62"/>
        <v>1110.1731732683513</v>
      </c>
      <c r="DL17" s="21">
        <f t="shared" si="63"/>
        <v>0.31360874300044217</v>
      </c>
      <c r="DM17" s="21">
        <f t="shared" si="96"/>
        <v>0.54954073993298846</v>
      </c>
      <c r="DN17" s="18">
        <f>LIT_FEC!$B91*$D$24/SUM($D$14:D$26)</f>
        <v>429.80114160618643</v>
      </c>
      <c r="DO17" s="18">
        <f t="shared" si="64"/>
        <v>127.59381950003537</v>
      </c>
      <c r="DP17" s="18">
        <f t="shared" si="65"/>
        <v>420.8335016899228</v>
      </c>
      <c r="DQ17" s="21">
        <f t="shared" si="66"/>
        <v>0.30319311316152925</v>
      </c>
      <c r="DR17" s="21">
        <f t="shared" si="97"/>
        <v>0.77154213504391911</v>
      </c>
      <c r="DS17" s="18">
        <f>LIT_FEC!$B91*$D$25/SUM($D$14:D$26)</f>
        <v>299.51866995361502</v>
      </c>
      <c r="DT17" s="18">
        <f t="shared" si="67"/>
        <v>164.374135752001</v>
      </c>
      <c r="DU17" s="18">
        <f t="shared" si="68"/>
        <v>286.05434737701324</v>
      </c>
      <c r="DV17" s="21">
        <f t="shared" si="69"/>
        <v>0.57462554671598665</v>
      </c>
      <c r="DW17" s="21">
        <f t="shared" si="98"/>
        <v>0.79890793568277241</v>
      </c>
      <c r="DX17" s="18">
        <f>LIT_FEC!$B91*$D$26/SUM($D$14:D$26)</f>
        <v>753.76914331306079</v>
      </c>
      <c r="DY17" s="18">
        <f t="shared" si="70"/>
        <v>503.28140735090557</v>
      </c>
      <c r="DZ17" s="18">
        <f t="shared" si="71"/>
        <v>753.52723934909375</v>
      </c>
      <c r="EA17" s="21">
        <f t="shared" si="72"/>
        <v>0.66790074873158711</v>
      </c>
      <c r="EB17" s="21">
        <f t="shared" si="73"/>
        <v>0.3590347179989431</v>
      </c>
      <c r="EC17" s="18">
        <f t="shared" si="74"/>
        <v>326.88793619534772</v>
      </c>
      <c r="ED17" s="21">
        <f t="shared" si="75"/>
        <v>3.2549620703007529E-2</v>
      </c>
    </row>
    <row r="18" spans="1:134" ht="19.5" customHeight="1" thickBot="1" x14ac:dyDescent="0.4">
      <c r="A18" s="77"/>
      <c r="B18" s="31" t="s">
        <v>36</v>
      </c>
      <c r="C18" s="34">
        <v>63.5</v>
      </c>
      <c r="D18" s="34">
        <v>84.483999999999995</v>
      </c>
      <c r="E18" s="21">
        <f t="shared" si="0"/>
        <v>0.75162160882533979</v>
      </c>
      <c r="F18" s="21">
        <f t="shared" si="101"/>
        <v>0.84637888073975243</v>
      </c>
      <c r="G18" s="49">
        <f>80%</f>
        <v>0.8</v>
      </c>
      <c r="H18" s="23" t="s">
        <v>187</v>
      </c>
      <c r="I18" s="23" t="s">
        <v>181</v>
      </c>
      <c r="J18" s="56">
        <f>'Efficiency Assumptions'!G66</f>
        <v>1.8206583002898808</v>
      </c>
      <c r="K18" s="84"/>
      <c r="L18" s="58">
        <f t="shared" si="100"/>
        <v>0.87926544907723247</v>
      </c>
      <c r="M18" s="47">
        <f t="shared" si="76"/>
        <v>2035</v>
      </c>
      <c r="N18" s="21">
        <f t="shared" si="77"/>
        <v>0.36318228115327778</v>
      </c>
      <c r="O18" s="18">
        <f>LIT_FEC!B198*D$5/SUM(D$5:D$8)</f>
        <v>377.22564006776258</v>
      </c>
      <c r="P18" s="18">
        <f t="shared" si="1"/>
        <v>34.160615676832805</v>
      </c>
      <c r="Q18" s="18">
        <f t="shared" si="2"/>
        <v>314.47544014180664</v>
      </c>
      <c r="R18" s="21">
        <f t="shared" si="3"/>
        <v>0.10862729267960873</v>
      </c>
      <c r="S18" s="21">
        <f t="shared" si="78"/>
        <v>0.21404705474691621</v>
      </c>
      <c r="T18" s="18">
        <f>LIT_FEC!B198*D$6/SUM(D$5:D$8)</f>
        <v>26034.289799351205</v>
      </c>
      <c r="U18" s="18">
        <f t="shared" si="4"/>
        <v>2241.1273090604504</v>
      </c>
      <c r="V18" s="18">
        <f t="shared" si="5"/>
        <v>22814.624922582982</v>
      </c>
      <c r="W18" s="21">
        <f t="shared" si="6"/>
        <v>9.8232047060395802E-2</v>
      </c>
      <c r="X18" s="21">
        <f t="shared" si="79"/>
        <v>0</v>
      </c>
      <c r="Y18" s="18">
        <f>LIT_FEC!$B198*$D$7/SUM($D$5:$D$8)</f>
        <v>6.7117409722462833</v>
      </c>
      <c r="Z18" s="18">
        <f t="shared" si="7"/>
        <v>0</v>
      </c>
      <c r="AA18" s="18">
        <f t="shared" si="8"/>
        <v>6.7117409722462833</v>
      </c>
      <c r="AB18" s="21">
        <f t="shared" si="9"/>
        <v>0</v>
      </c>
      <c r="AC18" s="21">
        <f t="shared" si="80"/>
        <v>0</v>
      </c>
      <c r="AD18" s="18">
        <f>LIT_FEC!$B198*$D$8/SUM($D$5:$D$8)</f>
        <v>31.537906372051488</v>
      </c>
      <c r="AE18" s="18">
        <f t="shared" si="10"/>
        <v>0</v>
      </c>
      <c r="AF18" s="18">
        <f t="shared" si="11"/>
        <v>31.537906372051488</v>
      </c>
      <c r="AG18" s="21">
        <f t="shared" si="12"/>
        <v>0</v>
      </c>
      <c r="AH18" s="21">
        <f t="shared" si="13"/>
        <v>9.8210970341812462E-2</v>
      </c>
      <c r="AI18" s="18">
        <f t="shared" si="14"/>
        <v>3282.4150766941784</v>
      </c>
      <c r="AJ18" s="21">
        <f t="shared" si="15"/>
        <v>0.12409997086654116</v>
      </c>
      <c r="AL18" s="21">
        <f t="shared" si="81"/>
        <v>0.25814979900427676</v>
      </c>
      <c r="AM18" s="18">
        <f>LIT_FEC!$B145*$D$9/SUM($D$9:$D$13)</f>
        <v>16356.943747022904</v>
      </c>
      <c r="AN18" s="18">
        <f t="shared" si="16"/>
        <v>1768.2285880208633</v>
      </c>
      <c r="AO18" s="18">
        <f t="shared" si="17"/>
        <v>14471.712558271114</v>
      </c>
      <c r="AP18" s="21">
        <f t="shared" si="18"/>
        <v>0.12218516508678552</v>
      </c>
      <c r="AQ18" s="21">
        <f t="shared" si="82"/>
        <v>1</v>
      </c>
      <c r="AR18" s="18">
        <f>LIT_FEC!$B145*$D$10/SUM($D$9:$D$13)</f>
        <v>34.181450199965262</v>
      </c>
      <c r="AS18" s="18">
        <f t="shared" si="19"/>
        <v>34.181450199965262</v>
      </c>
      <c r="AT18" s="18">
        <f t="shared" si="20"/>
        <v>34.181450199965262</v>
      </c>
      <c r="AU18" s="21">
        <f t="shared" si="21"/>
        <v>1</v>
      </c>
      <c r="AV18" s="18">
        <f t="shared" si="83"/>
        <v>0.47859511970116669</v>
      </c>
      <c r="AW18" s="18">
        <f>LIT_FEC!$B145*$D$11/SUM($D$9:$D$13)</f>
        <v>2954.9363704739367</v>
      </c>
      <c r="AX18" s="65">
        <f t="shared" si="22"/>
        <v>728.36811643637316</v>
      </c>
      <c r="AY18" s="18">
        <f t="shared" si="23"/>
        <v>2712.1675479951609</v>
      </c>
      <c r="AZ18" s="21">
        <f t="shared" si="24"/>
        <v>0.26855572288474</v>
      </c>
      <c r="BA18" s="18">
        <f t="shared" si="84"/>
        <v>0.44877696391622102</v>
      </c>
      <c r="BB18" s="18">
        <f>LIT_FEC!$B145*$D$12/SUM($D$9:$D$13)</f>
        <v>1560.6780658922839</v>
      </c>
      <c r="BC18" s="18">
        <f t="shared" si="25"/>
        <v>700.39636406177908</v>
      </c>
      <c r="BD18" s="18">
        <f t="shared" si="26"/>
        <v>1560.6780658922839</v>
      </c>
      <c r="BE18" s="21">
        <f t="shared" si="27"/>
        <v>0.44877696391622102</v>
      </c>
      <c r="BF18" s="18">
        <f t="shared" si="85"/>
        <v>1</v>
      </c>
      <c r="BG18" s="18">
        <f>LIT_FEC!$B145*$D$13/SUM($D$9:$D$13)</f>
        <v>4664.1575128693557</v>
      </c>
      <c r="BH18" s="18">
        <f t="shared" si="28"/>
        <v>4664.1575128693557</v>
      </c>
      <c r="BI18" s="18">
        <f t="shared" si="29"/>
        <v>4664.1575128693557</v>
      </c>
      <c r="BJ18" s="21">
        <f t="shared" si="30"/>
        <v>1</v>
      </c>
      <c r="BK18" s="21">
        <f t="shared" si="31"/>
        <v>0.33678994477708735</v>
      </c>
      <c r="BL18" s="18">
        <f t="shared" si="32"/>
        <v>2128.0000112305679</v>
      </c>
      <c r="BM18" s="21">
        <f t="shared" si="33"/>
        <v>8.3219607002537041E-2</v>
      </c>
      <c r="BO18" s="21">
        <f t="shared" si="86"/>
        <v>1.0000000000000002</v>
      </c>
      <c r="BP18" s="18">
        <f>LIT_FEC!$B92*$D$14/SUM($D$14:$D$26)</f>
        <v>17.697100305631633</v>
      </c>
      <c r="BQ18" s="18">
        <f t="shared" si="34"/>
        <v>17.69710030563164</v>
      </c>
      <c r="BR18" s="18">
        <f t="shared" si="35"/>
        <v>17.69710030563164</v>
      </c>
      <c r="BS18" s="21">
        <f t="shared" si="36"/>
        <v>1</v>
      </c>
      <c r="BT18" s="21">
        <f t="shared" si="87"/>
        <v>0.3984111780846108</v>
      </c>
      <c r="BU18" s="18">
        <f>LIT_FEC!$B92*$D$15/SUM($D$14:$D$26)</f>
        <v>2658.3360249795214</v>
      </c>
      <c r="BV18" s="18">
        <f t="shared" si="37"/>
        <v>735.32882157297684</v>
      </c>
      <c r="BW18" s="18">
        <f t="shared" si="38"/>
        <v>2525.9211100996849</v>
      </c>
      <c r="BX18" s="21">
        <f t="shared" si="39"/>
        <v>0.29111313834498864</v>
      </c>
      <c r="BY18" s="21">
        <f t="shared" si="88"/>
        <v>0.24941063886689238</v>
      </c>
      <c r="BZ18" s="18">
        <f>LIT_FEC!$B92*$D$16/SUM($D$14:$D$26)</f>
        <v>0</v>
      </c>
      <c r="CA18" s="18">
        <f t="shared" si="40"/>
        <v>0</v>
      </c>
      <c r="CB18" s="18">
        <f t="shared" si="41"/>
        <v>0</v>
      </c>
      <c r="CC18" s="21">
        <f t="shared" si="42"/>
        <v>0</v>
      </c>
      <c r="CD18" s="21">
        <f t="shared" si="89"/>
        <v>0.27037957553079023</v>
      </c>
      <c r="CE18" s="18">
        <f>LIT_FEC!$B92*$D$17/SUM($D$14:D$26)</f>
        <v>1577.1365242970905</v>
      </c>
      <c r="CF18" s="18">
        <f t="shared" si="43"/>
        <v>300.9079528889585</v>
      </c>
      <c r="CG18" s="18">
        <f t="shared" si="44"/>
        <v>1544.1413970704439</v>
      </c>
      <c r="CH18" s="21">
        <f t="shared" si="45"/>
        <v>0.19487072457214297</v>
      </c>
      <c r="CI18" s="21">
        <f t="shared" si="90"/>
        <v>0.8549039047325887</v>
      </c>
      <c r="CJ18" s="18">
        <f>LIT_FEC!$B92*$D$18/SUM($D$14:D$26)</f>
        <v>74.384170259750377</v>
      </c>
      <c r="CK18" s="18">
        <f t="shared" si="46"/>
        <v>56.471882195458768</v>
      </c>
      <c r="CL18" s="18">
        <f t="shared" si="47"/>
        <v>73.922030921056205</v>
      </c>
      <c r="CM18" s="21">
        <f t="shared" si="48"/>
        <v>0.76393845639559022</v>
      </c>
      <c r="CN18" s="21">
        <f t="shared" si="91"/>
        <v>0.83560518421635455</v>
      </c>
      <c r="CO18" s="18">
        <f>LIT_FEC!$B92*$D$19/SUM($D$14:D$26)</f>
        <v>338.23913128920276</v>
      </c>
      <c r="CP18" s="18">
        <f t="shared" si="49"/>
        <v>240.90756008037039</v>
      </c>
      <c r="CQ18" s="18">
        <f t="shared" si="50"/>
        <v>328.51480800414396</v>
      </c>
      <c r="CR18" s="21">
        <f t="shared" si="51"/>
        <v>0.73332329079464664</v>
      </c>
      <c r="CS18" s="18">
        <f t="shared" si="92"/>
        <v>0.63493779350882784</v>
      </c>
      <c r="CT18" s="18">
        <f>LIT_FEC!$B92*$D$20/SUM($D$14:D$26)</f>
        <v>124.75487217443622</v>
      </c>
      <c r="CU18" s="18">
        <f t="shared" si="52"/>
        <v>42.781764637643306</v>
      </c>
      <c r="CV18" s="18">
        <f t="shared" si="53"/>
        <v>111.74726113815093</v>
      </c>
      <c r="CW18" s="21">
        <f t="shared" si="54"/>
        <v>0.38284396594519715</v>
      </c>
      <c r="CX18" s="21">
        <f t="shared" si="93"/>
        <v>0.63625289258351669</v>
      </c>
      <c r="CY18" s="18">
        <f>LIT_FEC!$B92*$D$21/SUM($D$14:D$26)</f>
        <v>2112.840957339833</v>
      </c>
      <c r="CZ18" s="18">
        <f t="shared" si="55"/>
        <v>811.48561934835186</v>
      </c>
      <c r="DA18" s="18">
        <f t="shared" si="56"/>
        <v>1971.3056774917059</v>
      </c>
      <c r="DB18" s="21">
        <f t="shared" si="57"/>
        <v>0.41164880140805366</v>
      </c>
      <c r="DC18" s="21">
        <f t="shared" si="94"/>
        <v>0.68248160151792625</v>
      </c>
      <c r="DD18" s="18">
        <f>LIT_FEC!$B92*$D$22/SUM($D$14:D$26)</f>
        <v>513.35766175631272</v>
      </c>
      <c r="DE18" s="18">
        <f t="shared" si="58"/>
        <v>217.83830320575572</v>
      </c>
      <c r="DF18" s="18">
        <f t="shared" si="59"/>
        <v>471.20655887779958</v>
      </c>
      <c r="DG18" s="21">
        <f t="shared" si="60"/>
        <v>0.46229896231611844</v>
      </c>
      <c r="DH18" s="21">
        <f t="shared" si="95"/>
        <v>0.53519483899560572</v>
      </c>
      <c r="DI18" s="18">
        <f>LIT_FEC!$B92*$D$23/SUM($D$14:D$26)</f>
        <v>1113.9329730785889</v>
      </c>
      <c r="DJ18" s="45">
        <f t="shared" si="61"/>
        <v>348.28012790487992</v>
      </c>
      <c r="DK18" s="18">
        <f t="shared" si="62"/>
        <v>1104.4645542591293</v>
      </c>
      <c r="DL18" s="21">
        <f t="shared" si="63"/>
        <v>0.31533843848751208</v>
      </c>
      <c r="DM18" s="21">
        <f t="shared" si="96"/>
        <v>0.55509024121100969</v>
      </c>
      <c r="DN18" s="18">
        <f>LIT_FEC!$B92*$D$24/SUM($D$14:D$26)</f>
        <v>428.34554633291646</v>
      </c>
      <c r="DO18" s="18">
        <f t="shared" si="64"/>
        <v>128.4458352846334</v>
      </c>
      <c r="DP18" s="18">
        <f t="shared" si="65"/>
        <v>417.09203492161032</v>
      </c>
      <c r="DQ18" s="21">
        <f t="shared" si="66"/>
        <v>0.30795561777815761</v>
      </c>
      <c r="DR18" s="21">
        <f t="shared" si="97"/>
        <v>0.78246152773208988</v>
      </c>
      <c r="DS18" s="18">
        <f>LIT_FEC!$B92*$D$25/SUM($D$14:D$26)</f>
        <v>298.50429861292639</v>
      </c>
      <c r="DT18" s="18">
        <f t="shared" si="67"/>
        <v>166.13591136023828</v>
      </c>
      <c r="DU18" s="18">
        <f t="shared" si="68"/>
        <v>281.60789006216623</v>
      </c>
      <c r="DV18" s="21">
        <f t="shared" si="69"/>
        <v>0.58995474638002154</v>
      </c>
      <c r="DW18" s="21">
        <f t="shared" si="98"/>
        <v>0.7990099637464374</v>
      </c>
      <c r="DX18" s="18">
        <f>LIT_FEC!$B92*$D$26/SUM($D$14:D$26)</f>
        <v>751.21637484426844</v>
      </c>
      <c r="DY18" s="18">
        <f t="shared" si="70"/>
        <v>501.64101465550453</v>
      </c>
      <c r="DZ18" s="18">
        <f t="shared" si="71"/>
        <v>750.91280901821347</v>
      </c>
      <c r="EA18" s="21">
        <f t="shared" si="72"/>
        <v>0.66804162697847547</v>
      </c>
      <c r="EB18" s="21">
        <f t="shared" si="73"/>
        <v>0.37171532432501453</v>
      </c>
      <c r="EC18" s="18">
        <f t="shared" si="74"/>
        <v>410.21240310074427</v>
      </c>
      <c r="ED18" s="21">
        <f t="shared" si="75"/>
        <v>4.0985395977610792E-2</v>
      </c>
    </row>
    <row r="19" spans="1:134" ht="19.5" customHeight="1" thickBot="1" x14ac:dyDescent="0.4">
      <c r="A19" s="77"/>
      <c r="B19" s="31" t="s">
        <v>37</v>
      </c>
      <c r="C19" s="34">
        <v>260.60000000000002</v>
      </c>
      <c r="D19" s="34">
        <v>384.16500000000002</v>
      </c>
      <c r="E19" s="21">
        <f t="shared" si="0"/>
        <v>0.67835435294730129</v>
      </c>
      <c r="F19" s="21">
        <f t="shared" si="101"/>
        <v>0.79584989450007171</v>
      </c>
      <c r="G19" s="55">
        <v>0.91</v>
      </c>
      <c r="H19" s="23" t="s">
        <v>187</v>
      </c>
      <c r="I19" s="23" t="s">
        <v>181</v>
      </c>
      <c r="J19" s="56">
        <f>'Efficiency Assumptions'!G67</f>
        <v>1.8484283315099106</v>
      </c>
      <c r="K19" s="84"/>
      <c r="L19" s="58">
        <f t="shared" si="100"/>
        <v>0.94921193232301515</v>
      </c>
      <c r="M19" s="47">
        <f t="shared" si="76"/>
        <v>2036</v>
      </c>
      <c r="N19" s="21">
        <f t="shared" si="77"/>
        <v>0.40781923039894208</v>
      </c>
      <c r="O19" s="18">
        <f>LIT_FEC!B199*D$5/SUM(D$5:D$8)</f>
        <v>376.64914197494096</v>
      </c>
      <c r="P19" s="18">
        <f t="shared" si="1"/>
        <v>38.300506415693008</v>
      </c>
      <c r="Q19" s="18">
        <f t="shared" si="2"/>
        <v>298.56864479167876</v>
      </c>
      <c r="R19" s="21">
        <f t="shared" si="3"/>
        <v>0.12828040413425376</v>
      </c>
      <c r="S19" s="21">
        <f t="shared" si="78"/>
        <v>0.26276964895226418</v>
      </c>
      <c r="T19" s="18">
        <f>LIT_FEC!B199*D$6/SUM(D$5:D$8)</f>
        <v>25994.502688340952</v>
      </c>
      <c r="U19" s="18">
        <f t="shared" si="4"/>
        <v>2747.0606660382223</v>
      </c>
      <c r="V19" s="18">
        <f t="shared" si="5"/>
        <v>22015.6787797014</v>
      </c>
      <c r="W19" s="21">
        <f t="shared" si="6"/>
        <v>0.12477746852715849</v>
      </c>
      <c r="X19" s="21">
        <f t="shared" si="79"/>
        <v>0</v>
      </c>
      <c r="Y19" s="18">
        <f>LIT_FEC!$B199*$D$7/SUM($D$5:$D$8)</f>
        <v>6.7014837005790726</v>
      </c>
      <c r="Z19" s="18">
        <f t="shared" si="7"/>
        <v>0</v>
      </c>
      <c r="AA19" s="18">
        <f t="shared" si="8"/>
        <v>6.7014837005790726</v>
      </c>
      <c r="AB19" s="21">
        <f t="shared" si="9"/>
        <v>0</v>
      </c>
      <c r="AC19" s="21">
        <f t="shared" si="80"/>
        <v>0</v>
      </c>
      <c r="AD19" s="18">
        <f>LIT_FEC!$B199*$D$8/SUM($D$5:$D$8)</f>
        <v>31.489708315122456</v>
      </c>
      <c r="AE19" s="18">
        <f t="shared" si="10"/>
        <v>0</v>
      </c>
      <c r="AF19" s="18">
        <f t="shared" si="11"/>
        <v>31.489708315122456</v>
      </c>
      <c r="AG19" s="21">
        <f t="shared" si="12"/>
        <v>0</v>
      </c>
      <c r="AH19" s="21">
        <f t="shared" si="13"/>
        <v>0.12461106460199552</v>
      </c>
      <c r="AI19" s="18">
        <f t="shared" si="14"/>
        <v>4056.9044058228137</v>
      </c>
      <c r="AJ19" s="21">
        <f t="shared" si="15"/>
        <v>0.15361625627689102</v>
      </c>
      <c r="AL19" s="21">
        <f t="shared" si="81"/>
        <v>0.30174950982994186</v>
      </c>
      <c r="AM19" s="18">
        <f>LIT_FEC!$B146*$D$9/SUM($D$9:$D$13)</f>
        <v>16368.314960256394</v>
      </c>
      <c r="AN19" s="18">
        <f t="shared" si="16"/>
        <v>2068.3070053422653</v>
      </c>
      <c r="AO19" s="18">
        <f t="shared" si="17"/>
        <v>14033.499435284515</v>
      </c>
      <c r="AP19" s="21">
        <f t="shared" si="18"/>
        <v>0.14738355282517118</v>
      </c>
      <c r="AQ19" s="21">
        <f t="shared" si="82"/>
        <v>1</v>
      </c>
      <c r="AR19" s="18">
        <f>LIT_FEC!$B146*$D$10/SUM($D$9:$D$13)</f>
        <v>34.205212863997438</v>
      </c>
      <c r="AS19" s="18">
        <f t="shared" si="19"/>
        <v>34.205212863997438</v>
      </c>
      <c r="AT19" s="18">
        <f t="shared" si="20"/>
        <v>34.205212863997438</v>
      </c>
      <c r="AU19" s="21">
        <f t="shared" si="21"/>
        <v>1</v>
      </c>
      <c r="AV19" s="18">
        <f t="shared" si="83"/>
        <v>0.50386457381971128</v>
      </c>
      <c r="AW19" s="18">
        <f>LIT_FEC!$B146*$D$11/SUM($D$9:$D$13)</f>
        <v>2956.9906180204057</v>
      </c>
      <c r="AX19" s="65">
        <f t="shared" si="22"/>
        <v>767.35848335068795</v>
      </c>
      <c r="AY19" s="18">
        <f t="shared" si="23"/>
        <v>2656.3270075918736</v>
      </c>
      <c r="AZ19" s="21">
        <f t="shared" si="24"/>
        <v>0.28887952468109201</v>
      </c>
      <c r="BA19" s="18">
        <f t="shared" si="84"/>
        <v>0.4946117302081624</v>
      </c>
      <c r="BB19" s="18">
        <f>LIT_FEC!$B146*$D$12/SUM($D$9:$D$13)</f>
        <v>1561.7630364925724</v>
      </c>
      <c r="BC19" s="18">
        <f t="shared" si="25"/>
        <v>772.46631765474467</v>
      </c>
      <c r="BD19" s="18">
        <f t="shared" si="26"/>
        <v>1561.7630364925722</v>
      </c>
      <c r="BE19" s="21">
        <f t="shared" si="27"/>
        <v>0.49461173020816246</v>
      </c>
      <c r="BF19" s="18">
        <f t="shared" si="85"/>
        <v>1</v>
      </c>
      <c r="BG19" s="18">
        <f>LIT_FEC!$B146*$D$13/SUM($D$9:$D$13)</f>
        <v>4667.399996945458</v>
      </c>
      <c r="BH19" s="18">
        <f t="shared" si="28"/>
        <v>4667.399996945458</v>
      </c>
      <c r="BI19" s="18">
        <f t="shared" si="29"/>
        <v>4667.399996945458</v>
      </c>
      <c r="BJ19" s="21">
        <f t="shared" si="30"/>
        <v>1</v>
      </c>
      <c r="BK19" s="21">
        <f t="shared" si="31"/>
        <v>0.36202964897408751</v>
      </c>
      <c r="BL19" s="18">
        <f t="shared" si="32"/>
        <v>2635.4791354004119</v>
      </c>
      <c r="BM19" s="21">
        <f t="shared" si="33"/>
        <v>0.10299397121819344</v>
      </c>
      <c r="BO19" s="21">
        <f t="shared" si="86"/>
        <v>1.0000000000000002</v>
      </c>
      <c r="BP19" s="18">
        <f>LIT_FEC!$B93*$D$14/SUM($D$14:$D$26)</f>
        <v>17.638515333848119</v>
      </c>
      <c r="BQ19" s="18">
        <f t="shared" si="34"/>
        <v>17.638515333848126</v>
      </c>
      <c r="BR19" s="18">
        <f t="shared" si="35"/>
        <v>17.638515333848126</v>
      </c>
      <c r="BS19" s="21">
        <f t="shared" si="36"/>
        <v>1</v>
      </c>
      <c r="BT19" s="21">
        <f t="shared" si="87"/>
        <v>0.42623606940253872</v>
      </c>
      <c r="BU19" s="18">
        <f>LIT_FEC!$B93*$D$15/SUM($D$14:$D$26)</f>
        <v>2649.5357956580569</v>
      </c>
      <c r="BV19" s="18">
        <f t="shared" si="37"/>
        <v>784.07965792240759</v>
      </c>
      <c r="BW19" s="18">
        <f t="shared" si="38"/>
        <v>2486.1994015854243</v>
      </c>
      <c r="BX19" s="21">
        <f t="shared" si="39"/>
        <v>0.3153727964950872</v>
      </c>
      <c r="BY19" s="21">
        <f t="shared" si="88"/>
        <v>0.30867475930503752</v>
      </c>
      <c r="BZ19" s="18">
        <f>LIT_FEC!$B93*$D$16/SUM($D$14:$D$26)</f>
        <v>0</v>
      </c>
      <c r="CA19" s="18">
        <f t="shared" si="40"/>
        <v>0</v>
      </c>
      <c r="CB19" s="18">
        <f t="shared" si="41"/>
        <v>0</v>
      </c>
      <c r="CC19" s="21">
        <f t="shared" si="42"/>
        <v>0</v>
      </c>
      <c r="CD19" s="21">
        <f t="shared" si="89"/>
        <v>0.28364473919915023</v>
      </c>
      <c r="CE19" s="18">
        <f>LIT_FEC!$B93*$D$17/SUM($D$14:D$26)</f>
        <v>1571.915527796026</v>
      </c>
      <c r="CF19" s="18">
        <f t="shared" si="43"/>
        <v>314.62587170153921</v>
      </c>
      <c r="CG19" s="18">
        <f t="shared" si="44"/>
        <v>1531.2153913494717</v>
      </c>
      <c r="CH19" s="21">
        <f t="shared" si="45"/>
        <v>0.20547460107768187</v>
      </c>
      <c r="CI19" s="21">
        <f t="shared" si="90"/>
        <v>0.85692959237344013</v>
      </c>
      <c r="CJ19" s="18">
        <f>LIT_FEC!$B93*$D$18/SUM($D$14:D$26)</f>
        <v>74.137926839045974</v>
      </c>
      <c r="CK19" s="18">
        <f t="shared" si="46"/>
        <v>56.41830279468526</v>
      </c>
      <c r="CL19" s="18">
        <f t="shared" si="47"/>
        <v>73.567868902521852</v>
      </c>
      <c r="CM19" s="21">
        <f t="shared" si="48"/>
        <v>0.76688782258243837</v>
      </c>
      <c r="CN19" s="21">
        <f t="shared" si="91"/>
        <v>0.84505170297154097</v>
      </c>
      <c r="CO19" s="18">
        <f>LIT_FEC!$B93*$D$19/SUM($D$14:D$26)</f>
        <v>337.11941508595834</v>
      </c>
      <c r="CP19" s="18">
        <f t="shared" si="49"/>
        <v>242.8244977769113</v>
      </c>
      <c r="CQ19" s="18">
        <f t="shared" si="50"/>
        <v>325.1242716263306</v>
      </c>
      <c r="CR19" s="21">
        <f t="shared" si="51"/>
        <v>0.74686671826209439</v>
      </c>
      <c r="CS19" s="18">
        <f t="shared" si="92"/>
        <v>0.66036937471534396</v>
      </c>
      <c r="CT19" s="18">
        <f>LIT_FEC!$B93*$D$20/SUM($D$14:D$26)</f>
        <v>124.3418801847898</v>
      </c>
      <c r="CU19" s="18">
        <f t="shared" si="52"/>
        <v>44.348032227892624</v>
      </c>
      <c r="CV19" s="18">
        <f t="shared" si="53"/>
        <v>108.29673690093648</v>
      </c>
      <c r="CW19" s="21">
        <f t="shared" si="54"/>
        <v>0.4095047874661229</v>
      </c>
      <c r="CX19" s="21">
        <f t="shared" si="93"/>
        <v>0.65383209873595072</v>
      </c>
      <c r="CY19" s="18">
        <f>LIT_FEC!$B93*$D$21/SUM($D$14:D$26)</f>
        <v>2105.8465500227535</v>
      </c>
      <c r="CZ19" s="18">
        <f t="shared" si="55"/>
        <v>831.14579189205983</v>
      </c>
      <c r="DA19" s="18">
        <f t="shared" si="56"/>
        <v>1931.2600069174471</v>
      </c>
      <c r="DB19" s="21">
        <f t="shared" si="57"/>
        <v>0.43036452311705103</v>
      </c>
      <c r="DC19" s="21">
        <f t="shared" si="94"/>
        <v>0.70340109930774541</v>
      </c>
      <c r="DD19" s="18">
        <f>LIT_FEC!$B93*$D$22/SUM($D$14:D$26)</f>
        <v>511.65822831188154</v>
      </c>
      <c r="DE19" s="18">
        <f t="shared" si="58"/>
        <v>223.77226341546873</v>
      </c>
      <c r="DF19" s="18">
        <f t="shared" si="59"/>
        <v>459.66401635616108</v>
      </c>
      <c r="DG19" s="21">
        <f t="shared" si="60"/>
        <v>0.4868170129768945</v>
      </c>
      <c r="DH19" s="21">
        <f t="shared" si="95"/>
        <v>0.53749970822946525</v>
      </c>
      <c r="DI19" s="18">
        <f>LIT_FEC!$B93*$D$23/SUM($D$14:D$26)</f>
        <v>1110.2453784631159</v>
      </c>
      <c r="DJ19" s="45">
        <f t="shared" si="61"/>
        <v>348.62210902793151</v>
      </c>
      <c r="DK19" s="18">
        <f t="shared" si="62"/>
        <v>1098.5658981799211</v>
      </c>
      <c r="DL19" s="21">
        <f t="shared" si="63"/>
        <v>0.31734291916900087</v>
      </c>
      <c r="DM19" s="21">
        <f t="shared" si="96"/>
        <v>0.56149694961263052</v>
      </c>
      <c r="DN19" s="18">
        <f>LIT_FEC!$B93*$D$24/SUM($D$14:D$26)</f>
        <v>426.92753935368711</v>
      </c>
      <c r="DO19" s="18">
        <f t="shared" si="64"/>
        <v>129.49820566018215</v>
      </c>
      <c r="DP19" s="18">
        <f t="shared" si="65"/>
        <v>413.04611235397181</v>
      </c>
      <c r="DQ19" s="21">
        <f t="shared" si="66"/>
        <v>0.31351997219430289</v>
      </c>
      <c r="DR19" s="21">
        <f t="shared" si="97"/>
        <v>0.7950675911188968</v>
      </c>
      <c r="DS19" s="18">
        <f>LIT_FEC!$B93*$D$25/SUM($D$14:D$26)</f>
        <v>297.51612170204959</v>
      </c>
      <c r="DT19" s="18">
        <f t="shared" si="67"/>
        <v>168.25364847287159</v>
      </c>
      <c r="DU19" s="18">
        <f t="shared" si="68"/>
        <v>276.67407042736045</v>
      </c>
      <c r="DV19" s="21">
        <f t="shared" si="69"/>
        <v>0.60812944347470332</v>
      </c>
      <c r="DW19" s="21">
        <f t="shared" si="98"/>
        <v>0.79912775163762539</v>
      </c>
      <c r="DX19" s="18">
        <f>LIT_FEC!$B93*$D$26/SUM($D$14:D$26)</f>
        <v>748.72952731763962</v>
      </c>
      <c r="DY19" s="18">
        <f t="shared" si="70"/>
        <v>500.05407408040344</v>
      </c>
      <c r="DZ19" s="18">
        <f t="shared" si="71"/>
        <v>748.35507291847705</v>
      </c>
      <c r="EA19" s="21">
        <f t="shared" si="72"/>
        <v>0.66820429522882041</v>
      </c>
      <c r="EB19" s="21">
        <f t="shared" si="73"/>
        <v>0.38663492899071666</v>
      </c>
      <c r="EC19" s="18">
        <f t="shared" si="74"/>
        <v>506.00504321698099</v>
      </c>
      <c r="ED19" s="21">
        <f t="shared" si="75"/>
        <v>5.0724208461541992E-2</v>
      </c>
    </row>
    <row r="20" spans="1:134" ht="19.5" customHeight="1" thickBot="1" x14ac:dyDescent="0.4">
      <c r="A20" s="77"/>
      <c r="B20" s="31" t="s">
        <v>38</v>
      </c>
      <c r="C20" s="34">
        <v>40.4</v>
      </c>
      <c r="D20" s="34">
        <v>141.69399999999999</v>
      </c>
      <c r="E20" s="21">
        <f t="shared" si="0"/>
        <v>0.28512145891851454</v>
      </c>
      <c r="F20" s="21">
        <f t="shared" si="101"/>
        <v>0.52791001904396195</v>
      </c>
      <c r="G20" s="55">
        <v>0.85</v>
      </c>
      <c r="H20" s="23" t="s">
        <v>187</v>
      </c>
      <c r="I20" s="23" t="s">
        <v>183</v>
      </c>
      <c r="J20" s="56">
        <f>'Efficiency Assumptions'!G68</f>
        <v>2.8037383177570097</v>
      </c>
      <c r="K20" s="84"/>
      <c r="L20" s="58">
        <f t="shared" si="100"/>
        <v>0.94078583287216389</v>
      </c>
      <c r="M20" s="47">
        <f t="shared" si="76"/>
        <v>2037</v>
      </c>
      <c r="N20" s="21">
        <f t="shared" si="77"/>
        <v>0.45748775914405554</v>
      </c>
      <c r="O20" s="18">
        <f>LIT_FEC!B200*D$5/SUM(D$5:D$8)</f>
        <v>376.10515247815891</v>
      </c>
      <c r="P20" s="18">
        <f t="shared" si="1"/>
        <v>42.903092186113803</v>
      </c>
      <c r="Q20" s="18">
        <f t="shared" si="2"/>
        <v>280.99714525487917</v>
      </c>
      <c r="R20" s="21">
        <f t="shared" si="3"/>
        <v>0.15268159449519833</v>
      </c>
      <c r="S20" s="21">
        <f t="shared" si="78"/>
        <v>0.31698436594616547</v>
      </c>
      <c r="T20" s="18">
        <f>LIT_FEC!B200*D$6/SUM(D$5:D$8)</f>
        <v>25956.959163450956</v>
      </c>
      <c r="U20" s="18">
        <f t="shared" si="4"/>
        <v>3309.0489613179211</v>
      </c>
      <c r="V20" s="18">
        <f t="shared" si="5"/>
        <v>21134.901455001513</v>
      </c>
      <c r="W20" s="21">
        <f t="shared" si="6"/>
        <v>0.15656798629334723</v>
      </c>
      <c r="X20" s="21">
        <f t="shared" si="79"/>
        <v>0</v>
      </c>
      <c r="Y20" s="18">
        <f>LIT_FEC!$B200*$D$7/SUM($D$5:$D$8)</f>
        <v>6.6918048341229968</v>
      </c>
      <c r="Z20" s="18">
        <f t="shared" si="7"/>
        <v>0</v>
      </c>
      <c r="AA20" s="18">
        <f t="shared" si="8"/>
        <v>6.6918048341229968</v>
      </c>
      <c r="AB20" s="21">
        <f t="shared" si="9"/>
        <v>0</v>
      </c>
      <c r="AC20" s="21">
        <f t="shared" si="80"/>
        <v>0</v>
      </c>
      <c r="AD20" s="18">
        <f>LIT_FEC!$B200*$D$8/SUM($D$5:$D$8)</f>
        <v>31.444228135636749</v>
      </c>
      <c r="AE20" s="18">
        <f t="shared" si="10"/>
        <v>0</v>
      </c>
      <c r="AF20" s="18">
        <f t="shared" si="11"/>
        <v>31.444228135636749</v>
      </c>
      <c r="AG20" s="21">
        <f t="shared" si="12"/>
        <v>0</v>
      </c>
      <c r="AH20" s="21">
        <f t="shared" si="13"/>
        <v>0.15623877330340571</v>
      </c>
      <c r="AI20" s="18">
        <f t="shared" si="14"/>
        <v>4917.1657156727233</v>
      </c>
      <c r="AJ20" s="21">
        <f t="shared" si="15"/>
        <v>0.18645968521027295</v>
      </c>
      <c r="AL20" s="21">
        <f t="shared" si="81"/>
        <v>0.35026388025666916</v>
      </c>
      <c r="AM20" s="18">
        <f>LIT_FEC!$B147*$D$9/SUM($D$9:$D$13)</f>
        <v>16381.071601127054</v>
      </c>
      <c r="AN20" s="18">
        <f t="shared" si="16"/>
        <v>2402.7142249661615</v>
      </c>
      <c r="AO20" s="18">
        <f t="shared" si="17"/>
        <v>13545.243510583916</v>
      </c>
      <c r="AP20" s="21">
        <f t="shared" si="18"/>
        <v>0.17738435068286076</v>
      </c>
      <c r="AQ20" s="21">
        <f t="shared" si="82"/>
        <v>1</v>
      </c>
      <c r="AR20" s="18">
        <f>LIT_FEC!$B147*$D$10/SUM($D$9:$D$13)</f>
        <v>34.231870685371845</v>
      </c>
      <c r="AS20" s="18">
        <f t="shared" si="19"/>
        <v>34.231870685371845</v>
      </c>
      <c r="AT20" s="18">
        <f t="shared" si="20"/>
        <v>34.231870685371845</v>
      </c>
      <c r="AU20" s="21">
        <f t="shared" si="21"/>
        <v>1</v>
      </c>
      <c r="AV20" s="18">
        <f t="shared" si="83"/>
        <v>0.53198245887840323</v>
      </c>
      <c r="AW20" s="18">
        <f>LIT_FEC!$B147*$D$11/SUM($D$9:$D$13)</f>
        <v>2959.2951476841854</v>
      </c>
      <c r="AX20" s="65">
        <f t="shared" si="22"/>
        <v>810.81191482842144</v>
      </c>
      <c r="AY20" s="18">
        <f t="shared" si="23"/>
        <v>2594.1141288250528</v>
      </c>
      <c r="AZ20" s="21">
        <f t="shared" si="24"/>
        <v>0.31255830490220604</v>
      </c>
      <c r="BA20" s="18">
        <f t="shared" si="84"/>
        <v>0.54561309668972091</v>
      </c>
      <c r="BB20" s="18">
        <f>LIT_FEC!$B147*$D$12/SUM($D$9:$D$13)</f>
        <v>1562.9801960004374</v>
      </c>
      <c r="BC20" s="18">
        <f t="shared" si="25"/>
        <v>852.78246480450559</v>
      </c>
      <c r="BD20" s="18">
        <f t="shared" si="26"/>
        <v>1562.9801960004374</v>
      </c>
      <c r="BE20" s="21">
        <f t="shared" si="27"/>
        <v>0.54561309668972091</v>
      </c>
      <c r="BF20" s="18">
        <f t="shared" si="85"/>
        <v>1</v>
      </c>
      <c r="BG20" s="18">
        <f>LIT_FEC!$B147*$D$13/SUM($D$9:$D$13)</f>
        <v>4671.0375335950966</v>
      </c>
      <c r="BH20" s="18">
        <f t="shared" si="28"/>
        <v>4671.0375335950966</v>
      </c>
      <c r="BI20" s="18">
        <f t="shared" si="29"/>
        <v>4671.0375335950966</v>
      </c>
      <c r="BJ20" s="21">
        <f t="shared" si="30"/>
        <v>1</v>
      </c>
      <c r="BK20" s="21">
        <f t="shared" si="31"/>
        <v>0.39145536223710409</v>
      </c>
      <c r="BL20" s="18">
        <f t="shared" si="32"/>
        <v>3201.0091094022682</v>
      </c>
      <c r="BM20" s="21">
        <f t="shared" si="33"/>
        <v>0.12499734721183982</v>
      </c>
      <c r="BO20" s="21">
        <f t="shared" si="86"/>
        <v>1.0000000000000002</v>
      </c>
      <c r="BP20" s="18">
        <f>LIT_FEC!$B94*$D$14/SUM($D$14:$D$26)</f>
        <v>17.581602781306326</v>
      </c>
      <c r="BQ20" s="18">
        <f t="shared" si="34"/>
        <v>17.581602781306334</v>
      </c>
      <c r="BR20" s="18">
        <f t="shared" si="35"/>
        <v>17.581602781306334</v>
      </c>
      <c r="BS20" s="21">
        <f t="shared" si="36"/>
        <v>1</v>
      </c>
      <c r="BT20" s="21">
        <f t="shared" si="87"/>
        <v>0.45719744641439619</v>
      </c>
      <c r="BU20" s="18">
        <f>LIT_FEC!$B94*$D$15/SUM($D$14:$D$26)</f>
        <v>2640.9867855895973</v>
      </c>
      <c r="BV20" s="18">
        <f t="shared" si="37"/>
        <v>838.32076067101229</v>
      </c>
      <c r="BW20" s="18">
        <f t="shared" si="38"/>
        <v>2443.395224348144</v>
      </c>
      <c r="BX20" s="21">
        <f t="shared" si="39"/>
        <v>0.34309666824148843</v>
      </c>
      <c r="BY20" s="21">
        <f t="shared" si="88"/>
        <v>0.37461926759425035</v>
      </c>
      <c r="BZ20" s="18">
        <f>LIT_FEC!$B94*$D$16/SUM($D$14:$D$26)</f>
        <v>0</v>
      </c>
      <c r="CA20" s="18">
        <f t="shared" si="40"/>
        <v>0</v>
      </c>
      <c r="CB20" s="18">
        <f t="shared" si="41"/>
        <v>0</v>
      </c>
      <c r="CC20" s="21">
        <f t="shared" si="42"/>
        <v>0</v>
      </c>
      <c r="CD20" s="21">
        <f t="shared" si="89"/>
        <v>0.29840518260097093</v>
      </c>
      <c r="CE20" s="18">
        <f>LIT_FEC!$B94*$D$17/SUM($D$14:D$26)</f>
        <v>1566.8435745520203</v>
      </c>
      <c r="CF20" s="18">
        <f t="shared" si="43"/>
        <v>329.93052432244707</v>
      </c>
      <c r="CG20" s="18">
        <f t="shared" si="44"/>
        <v>1517.6077410510143</v>
      </c>
      <c r="CH20" s="21">
        <f t="shared" si="45"/>
        <v>0.21740171415701581</v>
      </c>
      <c r="CI20" s="21">
        <f t="shared" si="90"/>
        <v>0.85918362018041494</v>
      </c>
      <c r="CJ20" s="18">
        <f>LIT_FEC!$B94*$D$18/SUM($D$14:D$26)</f>
        <v>73.898712904272813</v>
      </c>
      <c r="CK20" s="18">
        <f t="shared" si="46"/>
        <v>56.384184373458041</v>
      </c>
      <c r="CL20" s="18">
        <f t="shared" si="47"/>
        <v>73.209101514751168</v>
      </c>
      <c r="CM20" s="21">
        <f t="shared" si="48"/>
        <v>0.77017998045088676</v>
      </c>
      <c r="CN20" s="21">
        <f t="shared" si="91"/>
        <v>0.85556305502992136</v>
      </c>
      <c r="CO20" s="18">
        <f>LIT_FEC!$B94*$D$19/SUM($D$14:D$26)</f>
        <v>336.03166330748974</v>
      </c>
      <c r="CP20" s="18">
        <f t="shared" si="49"/>
        <v>245.05167611524197</v>
      </c>
      <c r="CQ20" s="18">
        <f t="shared" si="50"/>
        <v>321.52087937008321</v>
      </c>
      <c r="CR20" s="21">
        <f t="shared" si="51"/>
        <v>0.76216411386825622</v>
      </c>
      <c r="CS20" s="18">
        <f t="shared" si="92"/>
        <v>0.68866766219994902</v>
      </c>
      <c r="CT20" s="18">
        <f>LIT_FEC!$B94*$D$20/SUM($D$14:D$26)</f>
        <v>123.94067783554318</v>
      </c>
      <c r="CU20" s="18">
        <f t="shared" si="52"/>
        <v>46.099217902761374</v>
      </c>
      <c r="CV20" s="18">
        <f t="shared" si="53"/>
        <v>104.53052169857358</v>
      </c>
      <c r="CW20" s="21">
        <f t="shared" si="54"/>
        <v>0.4410120331714602</v>
      </c>
      <c r="CX20" s="21">
        <f t="shared" si="93"/>
        <v>0.67339287340478082</v>
      </c>
      <c r="CY20" s="18">
        <f>LIT_FEC!$B94*$D$21/SUM($D$14:D$26)</f>
        <v>2099.0518113412536</v>
      </c>
      <c r="CZ20" s="18">
        <f t="shared" si="55"/>
        <v>853.24927017639925</v>
      </c>
      <c r="DA20" s="18">
        <f t="shared" si="56"/>
        <v>1887.8507020000879</v>
      </c>
      <c r="DB20" s="21">
        <f t="shared" si="57"/>
        <v>0.45196861662440907</v>
      </c>
      <c r="DC20" s="21">
        <f t="shared" si="94"/>
        <v>0.72667869096367377</v>
      </c>
      <c r="DD20" s="18">
        <f>LIT_FEC!$B94*$D$22/SUM($D$14:D$26)</f>
        <v>510.00730842145509</v>
      </c>
      <c r="DE20" s="18">
        <f t="shared" si="58"/>
        <v>230.43162053884438</v>
      </c>
      <c r="DF20" s="18">
        <f t="shared" si="59"/>
        <v>447.10878801404749</v>
      </c>
      <c r="DG20" s="21">
        <f t="shared" si="60"/>
        <v>0.51538155079073189</v>
      </c>
      <c r="DH20" s="21">
        <f t="shared" si="95"/>
        <v>0.54006438762020104</v>
      </c>
      <c r="DI20" s="18">
        <f>LIT_FEC!$B94*$D$23/SUM($D$14:D$26)</f>
        <v>1106.6630532367512</v>
      </c>
      <c r="DJ20" s="45">
        <f t="shared" si="61"/>
        <v>349.15532537060568</v>
      </c>
      <c r="DK20" s="18">
        <f t="shared" si="62"/>
        <v>1092.5341338569158</v>
      </c>
      <c r="DL20" s="21">
        <f t="shared" si="63"/>
        <v>0.31958299017898967</v>
      </c>
      <c r="DM20" s="21">
        <f t="shared" si="96"/>
        <v>0.56862583690858237</v>
      </c>
      <c r="DN20" s="18">
        <f>LIT_FEC!$B94*$D$24/SUM($D$14:D$26)</f>
        <v>425.55001207573207</v>
      </c>
      <c r="DO20" s="18">
        <f t="shared" si="64"/>
        <v>130.7191982530959</v>
      </c>
      <c r="DP20" s="18">
        <f t="shared" si="65"/>
        <v>408.75735022773443</v>
      </c>
      <c r="DQ20" s="21">
        <f t="shared" si="66"/>
        <v>0.31979656923665645</v>
      </c>
      <c r="DR20" s="21">
        <f t="shared" si="97"/>
        <v>0.80909463894074496</v>
      </c>
      <c r="DS20" s="18">
        <f>LIT_FEC!$B94*$D$25/SUM($D$14:D$26)</f>
        <v>296.55615417712386</v>
      </c>
      <c r="DT20" s="18">
        <f t="shared" si="67"/>
        <v>170.66961151251056</v>
      </c>
      <c r="DU20" s="18">
        <f t="shared" si="68"/>
        <v>271.34307491072985</v>
      </c>
      <c r="DV20" s="21">
        <f t="shared" si="69"/>
        <v>0.62898090017097275</v>
      </c>
      <c r="DW20" s="21">
        <f t="shared" si="98"/>
        <v>0.7992588168505973</v>
      </c>
      <c r="DX20" s="18">
        <f>LIT_FEC!$B94*$D$26/SUM($D$14:D$26)</f>
        <v>746.31367157487853</v>
      </c>
      <c r="DY20" s="18">
        <f t="shared" si="70"/>
        <v>498.52234564314728</v>
      </c>
      <c r="DZ20" s="18">
        <f t="shared" si="71"/>
        <v>745.86068600626504</v>
      </c>
      <c r="EA20" s="21">
        <f t="shared" si="72"/>
        <v>0.66838533655996957</v>
      </c>
      <c r="EB20" s="21">
        <f t="shared" si="73"/>
        <v>0.40360029321190172</v>
      </c>
      <c r="EC20" s="18">
        <f t="shared" si="74"/>
        <v>612.1252220177721</v>
      </c>
      <c r="ED20" s="21">
        <f t="shared" si="75"/>
        <v>6.1560802269493696E-2</v>
      </c>
    </row>
    <row r="21" spans="1:134" ht="19.5" customHeight="1" thickBot="1" x14ac:dyDescent="0.4">
      <c r="A21" s="77"/>
      <c r="B21" s="31" t="s">
        <v>40</v>
      </c>
      <c r="C21" s="34">
        <v>814.5</v>
      </c>
      <c r="D21" s="34">
        <v>2399.721</v>
      </c>
      <c r="E21" s="21">
        <f t="shared" si="0"/>
        <v>0.33941445693061817</v>
      </c>
      <c r="F21" s="21">
        <f t="shared" si="101"/>
        <v>0.56227151894906802</v>
      </c>
      <c r="G21" s="55">
        <v>0.69</v>
      </c>
      <c r="H21" s="23" t="s">
        <v>187</v>
      </c>
      <c r="I21" s="23" t="s">
        <v>181</v>
      </c>
      <c r="J21" s="56">
        <f>'Efficiency Assumptions'!G69</f>
        <v>2.5</v>
      </c>
      <c r="K21" s="84"/>
      <c r="L21" s="58">
        <f t="shared" si="100"/>
        <v>0.84766584766584752</v>
      </c>
      <c r="M21" s="47">
        <f t="shared" si="76"/>
        <v>2038</v>
      </c>
      <c r="N21" s="21">
        <f t="shared" si="77"/>
        <v>0.51054044361371276</v>
      </c>
      <c r="O21" s="18">
        <f>LIT_FEC!B201*D$5/SUM(D$5:D$8)</f>
        <v>375.5922367920661</v>
      </c>
      <c r="P21" s="18">
        <f t="shared" si="1"/>
        <v>47.813065790470191</v>
      </c>
      <c r="Q21" s="18">
        <f t="shared" si="2"/>
        <v>262.33077106744975</v>
      </c>
      <c r="R21" s="21">
        <f t="shared" si="3"/>
        <v>0.18226251383287639</v>
      </c>
      <c r="S21" s="21">
        <f t="shared" si="78"/>
        <v>0.37489299233309414</v>
      </c>
      <c r="T21" s="18">
        <f>LIT_FEC!B201*D$6/SUM(D$5:D$8)</f>
        <v>25921.560202733512</v>
      </c>
      <c r="U21" s="18">
        <f t="shared" si="4"/>
        <v>3908.2289444380508</v>
      </c>
      <c r="V21" s="18">
        <f t="shared" si="5"/>
        <v>20200.489814650435</v>
      </c>
      <c r="W21" s="21">
        <f t="shared" si="6"/>
        <v>0.1934719890605624</v>
      </c>
      <c r="X21" s="21">
        <f t="shared" si="79"/>
        <v>0</v>
      </c>
      <c r="Y21" s="18">
        <f>LIT_FEC!$B201*$D$7/SUM($D$5:$D$8)</f>
        <v>6.6826788446355412</v>
      </c>
      <c r="Z21" s="18">
        <f t="shared" si="7"/>
        <v>0</v>
      </c>
      <c r="AA21" s="18">
        <f t="shared" si="8"/>
        <v>6.6826788446355412</v>
      </c>
      <c r="AB21" s="21">
        <f t="shared" si="9"/>
        <v>0</v>
      </c>
      <c r="AC21" s="21">
        <f t="shared" si="80"/>
        <v>0</v>
      </c>
      <c r="AD21" s="18">
        <f>LIT_FEC!$B201*$D$8/SUM($D$5:$D$8)</f>
        <v>31.401345878529717</v>
      </c>
      <c r="AE21" s="18">
        <f t="shared" si="10"/>
        <v>0</v>
      </c>
      <c r="AF21" s="18">
        <f t="shared" si="11"/>
        <v>31.401345878529717</v>
      </c>
      <c r="AG21" s="21">
        <f t="shared" si="12"/>
        <v>0</v>
      </c>
      <c r="AH21" s="21">
        <f t="shared" si="13"/>
        <v>0.19296914382079125</v>
      </c>
      <c r="AI21" s="18">
        <f t="shared" si="14"/>
        <v>5834.3318538076928</v>
      </c>
      <c r="AJ21" s="21">
        <f t="shared" si="15"/>
        <v>0.22154089490436354</v>
      </c>
      <c r="AL21" s="21">
        <f t="shared" si="81"/>
        <v>0.40208376805124069</v>
      </c>
      <c r="AM21" s="18">
        <f>LIT_FEC!$B148*$D$9/SUM($D$9:$D$13)</f>
        <v>16395.160306008591</v>
      </c>
      <c r="AN21" s="18">
        <f t="shared" si="16"/>
        <v>2760.5566576328597</v>
      </c>
      <c r="AO21" s="18">
        <f t="shared" si="17"/>
        <v>13023.229301772986</v>
      </c>
      <c r="AP21" s="21">
        <f t="shared" si="18"/>
        <v>0.21197174630542953</v>
      </c>
      <c r="AQ21" s="21">
        <f t="shared" si="82"/>
        <v>1</v>
      </c>
      <c r="AR21" s="18">
        <f>LIT_FEC!$B148*$D$10/SUM($D$9:$D$13)</f>
        <v>34.261312148993547</v>
      </c>
      <c r="AS21" s="18">
        <f t="shared" si="19"/>
        <v>34.261312148993547</v>
      </c>
      <c r="AT21" s="18">
        <f t="shared" si="20"/>
        <v>34.261312148993547</v>
      </c>
      <c r="AU21" s="21">
        <f t="shared" si="21"/>
        <v>1</v>
      </c>
      <c r="AV21" s="18">
        <f t="shared" si="83"/>
        <v>0.56201615066798816</v>
      </c>
      <c r="AW21" s="18">
        <f>LIT_FEC!$B148*$D$11/SUM($D$9:$D$13)</f>
        <v>2961.8403191484394</v>
      </c>
      <c r="AX21" s="65">
        <f t="shared" si="22"/>
        <v>857.32396605576093</v>
      </c>
      <c r="AY21" s="18">
        <f t="shared" si="23"/>
        <v>2527.6231662272921</v>
      </c>
      <c r="AZ21" s="21">
        <f t="shared" si="24"/>
        <v>0.33918187549111406</v>
      </c>
      <c r="BA21" s="18">
        <f t="shared" si="84"/>
        <v>0.60008943154056293</v>
      </c>
      <c r="BB21" s="18">
        <f>LIT_FEC!$B148*$D$12/SUM($D$9:$D$13)</f>
        <v>1564.3244527898175</v>
      </c>
      <c r="BC21" s="18">
        <f t="shared" si="25"/>
        <v>938.73457161964382</v>
      </c>
      <c r="BD21" s="18">
        <f t="shared" si="26"/>
        <v>1564.3244527898175</v>
      </c>
      <c r="BE21" s="21">
        <f t="shared" si="27"/>
        <v>0.60008943154056293</v>
      </c>
      <c r="BF21" s="18">
        <f t="shared" si="85"/>
        <v>1</v>
      </c>
      <c r="BG21" s="18">
        <f>LIT_FEC!$B148*$D$13/SUM($D$9:$D$13)</f>
        <v>4675.0549062617829</v>
      </c>
      <c r="BH21" s="18">
        <f t="shared" si="28"/>
        <v>4675.0549062617829</v>
      </c>
      <c r="BI21" s="18">
        <f t="shared" si="29"/>
        <v>4675.0549062617829</v>
      </c>
      <c r="BJ21" s="21">
        <f t="shared" si="30"/>
        <v>1</v>
      </c>
      <c r="BK21" s="21">
        <f t="shared" si="31"/>
        <v>0.42456570948150429</v>
      </c>
      <c r="BL21" s="18">
        <f t="shared" si="32"/>
        <v>3806.1481571567492</v>
      </c>
      <c r="BM21" s="21">
        <f t="shared" si="33"/>
        <v>0.14849991902846543</v>
      </c>
      <c r="BO21" s="21">
        <f t="shared" si="86"/>
        <v>1.0000000000000002</v>
      </c>
      <c r="BP21" s="18">
        <f>LIT_FEC!$B95*$D$14/SUM($D$14:$D$26)</f>
        <v>17.526287200521676</v>
      </c>
      <c r="BQ21" s="18">
        <f t="shared" si="34"/>
        <v>17.526287200521683</v>
      </c>
      <c r="BR21" s="18">
        <f t="shared" si="35"/>
        <v>17.526287200521683</v>
      </c>
      <c r="BS21" s="21">
        <f t="shared" si="36"/>
        <v>1</v>
      </c>
      <c r="BT21" s="21">
        <f t="shared" si="87"/>
        <v>0.49026837093856535</v>
      </c>
      <c r="BU21" s="18">
        <f>LIT_FEC!$B95*$D$15/SUM($D$14:$D$26)</f>
        <v>2632.6776615747604</v>
      </c>
      <c r="BV21" s="18">
        <f t="shared" si="37"/>
        <v>896.1315376932788</v>
      </c>
      <c r="BW21" s="18">
        <f t="shared" si="38"/>
        <v>2398.6725879852734</v>
      </c>
      <c r="BX21" s="21">
        <f t="shared" si="39"/>
        <v>0.37359477161740118</v>
      </c>
      <c r="BY21" s="21">
        <f t="shared" si="88"/>
        <v>0.44505689236723084</v>
      </c>
      <c r="BZ21" s="18">
        <f>LIT_FEC!$B95*$D$16/SUM($D$14:$D$26)</f>
        <v>0</v>
      </c>
      <c r="CA21" s="18">
        <f t="shared" si="40"/>
        <v>0</v>
      </c>
      <c r="CB21" s="18">
        <f t="shared" si="41"/>
        <v>0</v>
      </c>
      <c r="CC21" s="21">
        <f t="shared" si="42"/>
        <v>0</v>
      </c>
      <c r="CD21" s="21">
        <f t="shared" si="89"/>
        <v>0.31417132599627073</v>
      </c>
      <c r="CE21" s="18">
        <f>LIT_FEC!$B95*$D$17/SUM($D$14:D$26)</f>
        <v>1561.9139408091178</v>
      </c>
      <c r="CF21" s="18">
        <f t="shared" si="43"/>
        <v>346.2694211468604</v>
      </c>
      <c r="CG21" s="18">
        <f t="shared" si="44"/>
        <v>1503.6045941484895</v>
      </c>
      <c r="CH21" s="21">
        <f t="shared" si="45"/>
        <v>0.2302928725373822</v>
      </c>
      <c r="CI21" s="21">
        <f t="shared" si="90"/>
        <v>0.86159122574173397</v>
      </c>
      <c r="CJ21" s="18">
        <f>LIT_FEC!$B95*$D$18/SUM($D$14:D$26)</f>
        <v>73.666211335764828</v>
      </c>
      <c r="CK21" s="18">
        <f t="shared" si="46"/>
        <v>56.364290094816539</v>
      </c>
      <c r="CL21" s="18">
        <f t="shared" si="47"/>
        <v>72.849513684613783</v>
      </c>
      <c r="CM21" s="21">
        <f t="shared" si="48"/>
        <v>0.77370852932297596</v>
      </c>
      <c r="CN21" s="21">
        <f t="shared" si="91"/>
        <v>0.86679059605422837</v>
      </c>
      <c r="CO21" s="18">
        <f>LIT_FEC!$B95*$D$19/SUM($D$14:D$26)</f>
        <v>334.97443394967218</v>
      </c>
      <c r="CP21" s="18">
        <f t="shared" si="49"/>
        <v>247.48638155865191</v>
      </c>
      <c r="CQ21" s="18">
        <f t="shared" si="50"/>
        <v>317.78950438193311</v>
      </c>
      <c r="CR21" s="21">
        <f t="shared" si="51"/>
        <v>0.77877456034926851</v>
      </c>
      <c r="CS21" s="18">
        <f t="shared" si="92"/>
        <v>0.71889404810029855</v>
      </c>
      <c r="CT21" s="18">
        <f>LIT_FEC!$B95*$D$20/SUM($D$14:D$26)</f>
        <v>123.5507332632198</v>
      </c>
      <c r="CU21" s="18">
        <f t="shared" si="52"/>
        <v>47.971159452400329</v>
      </c>
      <c r="CV21" s="18">
        <f t="shared" si="53"/>
        <v>100.56354197490019</v>
      </c>
      <c r="CW21" s="21">
        <f t="shared" si="54"/>
        <v>0.47702336761739683</v>
      </c>
      <c r="CX21" s="21">
        <f t="shared" si="93"/>
        <v>0.69428641772160549</v>
      </c>
      <c r="CY21" s="18">
        <f>LIT_FEC!$B95*$D$21/SUM($D$14:D$26)</f>
        <v>2092.4477336877153</v>
      </c>
      <c r="CZ21" s="18">
        <f t="shared" si="55"/>
        <v>876.9554654986681</v>
      </c>
      <c r="DA21" s="18">
        <f t="shared" si="56"/>
        <v>1842.3250522176911</v>
      </c>
      <c r="DB21" s="21">
        <f t="shared" si="57"/>
        <v>0.47600474435444312</v>
      </c>
      <c r="DC21" s="21">
        <f t="shared" si="94"/>
        <v>0.75154229688348839</v>
      </c>
      <c r="DD21" s="18">
        <f>LIT_FEC!$B95*$D$22/SUM($D$14:D$26)</f>
        <v>508.4027135036502</v>
      </c>
      <c r="DE21" s="18">
        <f t="shared" si="58"/>
        <v>237.56613760294459</v>
      </c>
      <c r="DF21" s="18">
        <f t="shared" si="59"/>
        <v>433.91282737627955</v>
      </c>
      <c r="DG21" s="21">
        <f t="shared" si="60"/>
        <v>0.54749738337864928</v>
      </c>
      <c r="DH21" s="21">
        <f t="shared" si="95"/>
        <v>0.54280381095163865</v>
      </c>
      <c r="DI21" s="18">
        <f>LIT_FEC!$B95*$D$23/SUM($D$14:D$26)</f>
        <v>1103.1812484044983</v>
      </c>
      <c r="DJ21" s="45">
        <f t="shared" si="61"/>
        <v>349.82228990659991</v>
      </c>
      <c r="DK21" s="18">
        <f t="shared" si="62"/>
        <v>1086.4485559836</v>
      </c>
      <c r="DL21" s="21">
        <f t="shared" si="63"/>
        <v>0.32198698040506252</v>
      </c>
      <c r="DM21" s="21">
        <f t="shared" si="96"/>
        <v>0.57624044957957055</v>
      </c>
      <c r="DN21" s="18">
        <f>LIT_FEC!$B95*$D$24/SUM($D$14:D$26)</f>
        <v>424.21113834711434</v>
      </c>
      <c r="DO21" s="18">
        <f t="shared" si="64"/>
        <v>132.0529134377974</v>
      </c>
      <c r="DP21" s="18">
        <f t="shared" si="65"/>
        <v>404.32381093892502</v>
      </c>
      <c r="DQ21" s="21">
        <f t="shared" si="66"/>
        <v>0.32660187173034089</v>
      </c>
      <c r="DR21" s="21">
        <f t="shared" si="97"/>
        <v>0.82407741698823267</v>
      </c>
      <c r="DS21" s="18">
        <f>LIT_FEC!$B95*$D$25/SUM($D$14:D$26)</f>
        <v>295.62312343427197</v>
      </c>
      <c r="DT21" s="18">
        <f t="shared" si="67"/>
        <v>173.28315615534032</v>
      </c>
      <c r="DU21" s="18">
        <f t="shared" si="68"/>
        <v>265.76360700512436</v>
      </c>
      <c r="DV21" s="21">
        <f t="shared" si="69"/>
        <v>0.65201988379093279</v>
      </c>
      <c r="DW21" s="21">
        <f t="shared" si="98"/>
        <v>0.79939881216683539</v>
      </c>
      <c r="DX21" s="18">
        <f>LIT_FEC!$B95*$D$26/SUM($D$14:D$26)</f>
        <v>743.96560497911958</v>
      </c>
      <c r="DY21" s="18">
        <f t="shared" si="70"/>
        <v>497.0409296041135</v>
      </c>
      <c r="DZ21" s="18">
        <f t="shared" si="71"/>
        <v>743.42914015920314</v>
      </c>
      <c r="EA21" s="21">
        <f t="shared" si="72"/>
        <v>0.66857875586861404</v>
      </c>
      <c r="EB21" s="21">
        <f t="shared" si="73"/>
        <v>0.42215976142683198</v>
      </c>
      <c r="EC21" s="18">
        <f t="shared" si="74"/>
        <v>724.93180743286939</v>
      </c>
      <c r="ED21" s="21">
        <f t="shared" si="75"/>
        <v>7.313574532789148E-2</v>
      </c>
    </row>
    <row r="22" spans="1:134" ht="19.5" customHeight="1" thickBot="1" x14ac:dyDescent="0.4">
      <c r="A22" s="77"/>
      <c r="B22" s="31" t="s">
        <v>41</v>
      </c>
      <c r="C22" s="34">
        <v>215.5</v>
      </c>
      <c r="D22" s="34">
        <v>583.06100000000004</v>
      </c>
      <c r="E22" s="21">
        <f t="shared" si="0"/>
        <v>0.36960112235254972</v>
      </c>
      <c r="F22" s="21">
        <f t="shared" si="101"/>
        <v>0.59444274647444406</v>
      </c>
      <c r="G22" s="55">
        <v>0.85</v>
      </c>
      <c r="H22" s="23" t="s">
        <v>187</v>
      </c>
      <c r="I22" s="23" t="s">
        <v>182</v>
      </c>
      <c r="J22" s="56">
        <f>'Efficiency Assumptions'!G70</f>
        <v>2.5</v>
      </c>
      <c r="K22" s="84"/>
      <c r="L22" s="58">
        <f t="shared" si="100"/>
        <v>0.93406593406593408</v>
      </c>
      <c r="M22" s="47">
        <f t="shared" si="76"/>
        <v>2039</v>
      </c>
      <c r="N22" s="21">
        <f t="shared" si="77"/>
        <v>0.56478905332335794</v>
      </c>
      <c r="O22" s="18">
        <f>LIT_FEC!B202*D$5/SUM(D$5:D$8)</f>
        <v>375.11677800801158</v>
      </c>
      <c r="P22" s="18">
        <f t="shared" si="1"/>
        <v>52.826591917722737</v>
      </c>
      <c r="Q22" s="18">
        <f t="shared" si="2"/>
        <v>243.32704947324396</v>
      </c>
      <c r="R22" s="21">
        <f t="shared" si="3"/>
        <v>0.21710118966256362</v>
      </c>
      <c r="S22" s="21">
        <f t="shared" si="78"/>
        <v>0.43410700766690591</v>
      </c>
      <c r="T22" s="18">
        <f>LIT_FEC!B202*D$6/SUM(D$5:D$8)</f>
        <v>25888.746336291402</v>
      </c>
      <c r="U22" s="18">
        <f t="shared" si="4"/>
        <v>4519.8014093283864</v>
      </c>
      <c r="V22" s="18">
        <f t="shared" si="5"/>
        <v>19250.087646352713</v>
      </c>
      <c r="W22" s="21">
        <f t="shared" si="6"/>
        <v>0.23479380937700545</v>
      </c>
      <c r="X22" s="21">
        <f t="shared" si="79"/>
        <v>0</v>
      </c>
      <c r="Y22" s="18">
        <f>LIT_FEC!$B202*$D$7/SUM($D$5:$D$8)</f>
        <v>6.6742193024872938</v>
      </c>
      <c r="Z22" s="18">
        <f t="shared" si="7"/>
        <v>0</v>
      </c>
      <c r="AA22" s="18">
        <f t="shared" si="8"/>
        <v>6.6742193024872938</v>
      </c>
      <c r="AB22" s="21">
        <f t="shared" si="9"/>
        <v>0</v>
      </c>
      <c r="AC22" s="21">
        <f t="shared" si="80"/>
        <v>0</v>
      </c>
      <c r="AD22" s="18">
        <f>LIT_FEC!$B202*$D$8/SUM($D$5:$D$8)</f>
        <v>31.361595201421483</v>
      </c>
      <c r="AE22" s="18">
        <f t="shared" si="10"/>
        <v>0</v>
      </c>
      <c r="AF22" s="18">
        <f t="shared" si="11"/>
        <v>31.361595201421483</v>
      </c>
      <c r="AG22" s="21">
        <f t="shared" si="12"/>
        <v>0</v>
      </c>
      <c r="AH22" s="21">
        <f t="shared" si="13"/>
        <v>0.23411615019722784</v>
      </c>
      <c r="AI22" s="18">
        <f t="shared" si="14"/>
        <v>6770.4484184734574</v>
      </c>
      <c r="AJ22" s="21">
        <f t="shared" si="15"/>
        <v>0.25741291291554275</v>
      </c>
      <c r="AL22" s="21">
        <f t="shared" si="81"/>
        <v>0.45507179111297891</v>
      </c>
      <c r="AM22" s="18">
        <f>LIT_FEC!$B149*$D$9/SUM($D$9:$D$13)</f>
        <v>16410.869216719155</v>
      </c>
      <c r="AN22" s="18">
        <f t="shared" si="16"/>
        <v>3127.3461684338913</v>
      </c>
      <c r="AO22" s="18">
        <f t="shared" si="17"/>
        <v>12489.490666373551</v>
      </c>
      <c r="AP22" s="21">
        <f t="shared" si="18"/>
        <v>0.25039821494513737</v>
      </c>
      <c r="AQ22" s="21">
        <f t="shared" si="82"/>
        <v>1</v>
      </c>
      <c r="AR22" s="18">
        <f>LIT_FEC!$B149*$D$10/SUM($D$9:$D$13)</f>
        <v>34.294139390894813</v>
      </c>
      <c r="AS22" s="18">
        <f t="shared" si="19"/>
        <v>34.294139390894813</v>
      </c>
      <c r="AT22" s="18">
        <f t="shared" si="20"/>
        <v>34.294139390894813</v>
      </c>
      <c r="AU22" s="21">
        <f t="shared" si="21"/>
        <v>1</v>
      </c>
      <c r="AV22" s="18">
        <f t="shared" si="83"/>
        <v>0.59272686851987777</v>
      </c>
      <c r="AW22" s="18">
        <f>LIT_FEC!$B149*$D$11/SUM($D$9:$D$13)</f>
        <v>2964.6781861923741</v>
      </c>
      <c r="AX22" s="65">
        <f t="shared" si="22"/>
        <v>905.03776114755317</v>
      </c>
      <c r="AY22" s="18">
        <f t="shared" si="23"/>
        <v>2459.7064570798079</v>
      </c>
      <c r="AZ22" s="21">
        <f t="shared" si="24"/>
        <v>0.3679454345223066</v>
      </c>
      <c r="BA22" s="18">
        <f t="shared" si="84"/>
        <v>0.65579378387028342</v>
      </c>
      <c r="BB22" s="18">
        <f>LIT_FEC!$B149*$D$12/SUM($D$9:$D$13)</f>
        <v>1565.8232995648762</v>
      </c>
      <c r="BC22" s="18">
        <f t="shared" si="25"/>
        <v>1026.8571864939024</v>
      </c>
      <c r="BD22" s="18">
        <f t="shared" si="26"/>
        <v>1565.8232995648759</v>
      </c>
      <c r="BE22" s="21">
        <f t="shared" si="27"/>
        <v>0.65579378387028353</v>
      </c>
      <c r="BF22" s="18">
        <f t="shared" si="85"/>
        <v>1</v>
      </c>
      <c r="BG22" s="18">
        <f>LIT_FEC!$B149*$D$13/SUM($D$9:$D$13)</f>
        <v>4679.5342781446261</v>
      </c>
      <c r="BH22" s="18">
        <f t="shared" si="28"/>
        <v>4679.5342781446261</v>
      </c>
      <c r="BI22" s="18">
        <f t="shared" si="29"/>
        <v>4679.5342781446261</v>
      </c>
      <c r="BJ22" s="21">
        <f t="shared" si="30"/>
        <v>1</v>
      </c>
      <c r="BK22" s="21">
        <f t="shared" si="31"/>
        <v>0.46036738058736565</v>
      </c>
      <c r="BL22" s="18">
        <f t="shared" si="32"/>
        <v>4426.3502794581691</v>
      </c>
      <c r="BM22" s="21">
        <f t="shared" si="33"/>
        <v>0.17253229096964856</v>
      </c>
      <c r="BO22" s="21">
        <f t="shared" si="86"/>
        <v>1</v>
      </c>
      <c r="BP22" s="18">
        <f>LIT_FEC!$B96*$D$14/SUM($D$14:$D$26)</f>
        <v>17.47285780685176</v>
      </c>
      <c r="BQ22" s="18">
        <f t="shared" si="34"/>
        <v>17.472857806851763</v>
      </c>
      <c r="BR22" s="18">
        <f t="shared" si="35"/>
        <v>17.472857806851763</v>
      </c>
      <c r="BS22" s="21">
        <f t="shared" si="36"/>
        <v>1</v>
      </c>
      <c r="BT22" s="21">
        <f t="shared" si="87"/>
        <v>0.52408478749096188</v>
      </c>
      <c r="BU22" s="18">
        <f>LIT_FEC!$B96*$D$15/SUM($D$14:$D$26)</f>
        <v>2624.6518675445177</v>
      </c>
      <c r="BV22" s="18">
        <f t="shared" si="37"/>
        <v>955.02217962461532</v>
      </c>
      <c r="BW22" s="18">
        <f t="shared" si="38"/>
        <v>2353.6055792081715</v>
      </c>
      <c r="BX22" s="21">
        <f t="shared" si="39"/>
        <v>0.40576984863619986</v>
      </c>
      <c r="BY22" s="21">
        <f t="shared" si="88"/>
        <v>0.51708233751448462</v>
      </c>
      <c r="BZ22" s="18">
        <f>LIT_FEC!$B96*$D$16/SUM($D$14:$D$26)</f>
        <v>0</v>
      </c>
      <c r="CA22" s="18">
        <f t="shared" si="40"/>
        <v>0</v>
      </c>
      <c r="CB22" s="18">
        <f t="shared" si="41"/>
        <v>0</v>
      </c>
      <c r="CC22" s="21">
        <f t="shared" si="42"/>
        <v>0</v>
      </c>
      <c r="CD22" s="21">
        <f t="shared" si="89"/>
        <v>0.33029287325119033</v>
      </c>
      <c r="CE22" s="18">
        <f>LIT_FEC!$B96*$D$17/SUM($D$14:D$26)</f>
        <v>1557.1524009651548</v>
      </c>
      <c r="CF22" s="18">
        <f t="shared" si="43"/>
        <v>362.92828580689581</v>
      </c>
      <c r="CG22" s="18">
        <f t="shared" si="44"/>
        <v>1489.6131303619613</v>
      </c>
      <c r="CH22" s="21">
        <f t="shared" si="45"/>
        <v>0.24363929023551761</v>
      </c>
      <c r="CI22" s="21">
        <f t="shared" si="90"/>
        <v>0.86405310407525093</v>
      </c>
      <c r="CJ22" s="18">
        <f>LIT_FEC!$B96*$D$18/SUM($D$14:D$26)</f>
        <v>73.441637758908669</v>
      </c>
      <c r="CK22" s="18">
        <f t="shared" si="46"/>
        <v>56.353024150830436</v>
      </c>
      <c r="CL22" s="18">
        <f t="shared" si="47"/>
        <v>72.495663111257073</v>
      </c>
      <c r="CM22" s="21">
        <f t="shared" si="48"/>
        <v>0.77732959093493659</v>
      </c>
      <c r="CN22" s="21">
        <f t="shared" si="91"/>
        <v>0.87827123076885849</v>
      </c>
      <c r="CO22" s="18">
        <f>LIT_FEC!$B96*$D$19/SUM($D$14:D$26)</f>
        <v>333.95325469498539</v>
      </c>
      <c r="CP22" s="18">
        <f t="shared" si="49"/>
        <v>249.99987442410279</v>
      </c>
      <c r="CQ22" s="18">
        <f t="shared" si="50"/>
        <v>314.04808211386211</v>
      </c>
      <c r="CR22" s="21">
        <f t="shared" si="51"/>
        <v>0.7960560457537269</v>
      </c>
      <c r="CS22" s="18">
        <f t="shared" si="92"/>
        <v>0.74980180381582728</v>
      </c>
      <c r="CT22" s="18">
        <f>LIT_FEC!$B96*$D$20/SUM($D$14:D$26)</f>
        <v>123.17408527781359</v>
      </c>
      <c r="CU22" s="18">
        <f t="shared" si="52"/>
        <v>49.881077562189446</v>
      </c>
      <c r="CV22" s="18">
        <f t="shared" si="53"/>
        <v>96.548197289987783</v>
      </c>
      <c r="CW22" s="21">
        <f t="shared" si="54"/>
        <v>0.5166443181985978</v>
      </c>
      <c r="CX22" s="21">
        <f t="shared" si="93"/>
        <v>0.71565094889331005</v>
      </c>
      <c r="CY22" s="18">
        <f>LIT_FEC!$B96*$D$21/SUM($D$14:D$26)</f>
        <v>2086.0688462246821</v>
      </c>
      <c r="CZ22" s="18">
        <f t="shared" si="55"/>
        <v>901.18538480408108</v>
      </c>
      <c r="DA22" s="18">
        <f t="shared" si="56"/>
        <v>1796.3536558604085</v>
      </c>
      <c r="DB22" s="21">
        <f t="shared" si="57"/>
        <v>0.50167481323294094</v>
      </c>
      <c r="DC22" s="21">
        <f t="shared" si="94"/>
        <v>0.77696638365688975</v>
      </c>
      <c r="DD22" s="18">
        <f>LIT_FEC!$B96*$D$22/SUM($D$14:D$26)</f>
        <v>506.85283312043754</v>
      </c>
      <c r="DE22" s="18">
        <f t="shared" si="58"/>
        <v>244.85408652652555</v>
      </c>
      <c r="DF22" s="18">
        <f t="shared" si="59"/>
        <v>420.57176731397396</v>
      </c>
      <c r="DG22" s="21">
        <f t="shared" si="60"/>
        <v>0.58219335094771585</v>
      </c>
      <c r="DH22" s="21">
        <f t="shared" si="95"/>
        <v>0.54560498696416737</v>
      </c>
      <c r="DI22" s="18">
        <f>LIT_FEC!$B96*$D$23/SUM($D$14:D$26)</f>
        <v>1099.8181684471801</v>
      </c>
      <c r="DJ22" s="45">
        <f t="shared" si="61"/>
        <v>350.55562481760455</v>
      </c>
      <c r="DK22" s="18">
        <f t="shared" si="62"/>
        <v>1080.4368186969841</v>
      </c>
      <c r="DL22" s="21">
        <f t="shared" si="63"/>
        <v>0.32445731092390723</v>
      </c>
      <c r="DM22" s="21">
        <f t="shared" si="96"/>
        <v>0.58402671251815597</v>
      </c>
      <c r="DN22" s="18">
        <f>LIT_FEC!$B96*$D$24/SUM($D$14:D$26)</f>
        <v>422.91791841692645</v>
      </c>
      <c r="DO22" s="18">
        <f t="shared" si="64"/>
        <v>133.42922908912112</v>
      </c>
      <c r="DP22" s="18">
        <f t="shared" si="65"/>
        <v>399.88257907049979</v>
      </c>
      <c r="DQ22" s="21">
        <f t="shared" si="66"/>
        <v>0.33367102262686316</v>
      </c>
      <c r="DR22" s="21">
        <f t="shared" si="97"/>
        <v>0.83939794010199287</v>
      </c>
      <c r="DS22" s="18">
        <f>LIT_FEC!$B96*$D$25/SUM($D$14:D$26)</f>
        <v>294.72190778835756</v>
      </c>
      <c r="DT22" s="18">
        <f t="shared" si="67"/>
        <v>175.9666046709313</v>
      </c>
      <c r="DU22" s="18">
        <f t="shared" si="68"/>
        <v>260.13585811220128</v>
      </c>
      <c r="DV22" s="21">
        <f t="shared" si="69"/>
        <v>0.67644117173201757</v>
      </c>
      <c r="DW22" s="21">
        <f t="shared" si="98"/>
        <v>0.7995419632881724</v>
      </c>
      <c r="DX22" s="18">
        <f>LIT_FEC!$B96*$D$26/SUM($D$14:D$26)</f>
        <v>741.6976043050164</v>
      </c>
      <c r="DY22" s="18">
        <f t="shared" si="70"/>
        <v>495.61442145325816</v>
      </c>
      <c r="DZ22" s="18">
        <f t="shared" si="71"/>
        <v>741.07622120408212</v>
      </c>
      <c r="EA22" s="21">
        <f t="shared" si="72"/>
        <v>0.66877658096760439</v>
      </c>
      <c r="EB22" s="21">
        <f t="shared" si="73"/>
        <v>0.44162314532739322</v>
      </c>
      <c r="EC22" s="18">
        <f t="shared" si="74"/>
        <v>839.68297220059139</v>
      </c>
      <c r="ED22" s="21">
        <f t="shared" si="75"/>
        <v>8.4971613289399672E-2</v>
      </c>
    </row>
    <row r="23" spans="1:134" ht="19.5" customHeight="1" thickBot="1" x14ac:dyDescent="0.4">
      <c r="A23" s="77"/>
      <c r="B23" s="31" t="s">
        <v>42</v>
      </c>
      <c r="C23" s="34">
        <v>388.4</v>
      </c>
      <c r="D23" s="34">
        <v>1265.182</v>
      </c>
      <c r="E23" s="21">
        <f t="shared" si="0"/>
        <v>0.30699140518913481</v>
      </c>
      <c r="F23" s="21">
        <f t="shared" si="101"/>
        <v>0.52549489063103771</v>
      </c>
      <c r="G23" s="55">
        <v>0.34</v>
      </c>
      <c r="H23" s="23" t="s">
        <v>187</v>
      </c>
      <c r="I23" s="23" t="s">
        <v>184</v>
      </c>
      <c r="J23" s="56">
        <f>'Efficiency Assumptions'!G71</f>
        <v>2.5</v>
      </c>
      <c r="K23" s="84"/>
      <c r="L23" s="58">
        <f t="shared" si="100"/>
        <v>0.56291390728476831</v>
      </c>
      <c r="M23" s="47">
        <f t="shared" si="76"/>
        <v>2040</v>
      </c>
      <c r="N23" s="21">
        <f t="shared" si="77"/>
        <v>0.61784173779301521</v>
      </c>
      <c r="O23" s="18">
        <f>LIT_FEC!B203*D$5/SUM(D$5:D$8)</f>
        <v>374.66924826242712</v>
      </c>
      <c r="P23" s="18">
        <f t="shared" si="1"/>
        <v>57.719840919542563</v>
      </c>
      <c r="Q23" s="18">
        <f t="shared" si="2"/>
        <v>224.7985171121444</v>
      </c>
      <c r="R23" s="21">
        <f t="shared" si="3"/>
        <v>0.25676255191108793</v>
      </c>
      <c r="S23" s="21">
        <f t="shared" si="78"/>
        <v>0.49201563405383464</v>
      </c>
      <c r="T23" s="18">
        <f>LIT_FEC!B203*D$6/SUM(D$5:D$8)</f>
        <v>25857.859997048174</v>
      </c>
      <c r="U23" s="18">
        <f t="shared" si="4"/>
        <v>5116.6182914630781</v>
      </c>
      <c r="V23" s="18">
        <f t="shared" si="5"/>
        <v>18323.758123452186</v>
      </c>
      <c r="W23" s="21">
        <f t="shared" si="6"/>
        <v>0.27923411000030762</v>
      </c>
      <c r="X23" s="21">
        <f t="shared" si="79"/>
        <v>0</v>
      </c>
      <c r="Y23" s="18">
        <f>LIT_FEC!$B203*$D$7/SUM($D$5:$D$8)</f>
        <v>6.6662566843333444</v>
      </c>
      <c r="Z23" s="18">
        <f t="shared" si="7"/>
        <v>0</v>
      </c>
      <c r="AA23" s="18">
        <f t="shared" si="8"/>
        <v>6.6662566843333444</v>
      </c>
      <c r="AB23" s="21">
        <f t="shared" si="9"/>
        <v>0</v>
      </c>
      <c r="AC23" s="21">
        <f t="shared" si="80"/>
        <v>0</v>
      </c>
      <c r="AD23" s="18">
        <f>LIT_FEC!$B203*$D$8/SUM($D$5:$D$8)</f>
        <v>31.324179528371221</v>
      </c>
      <c r="AE23" s="18">
        <f t="shared" si="10"/>
        <v>0</v>
      </c>
      <c r="AF23" s="18">
        <f t="shared" si="11"/>
        <v>31.324179528371221</v>
      </c>
      <c r="AG23" s="21">
        <f t="shared" si="12"/>
        <v>0</v>
      </c>
      <c r="AH23" s="21">
        <f t="shared" si="13"/>
        <v>0.27839157596128755</v>
      </c>
      <c r="AI23" s="18">
        <f t="shared" si="14"/>
        <v>7683.9726047462718</v>
      </c>
      <c r="AJ23" s="21">
        <f t="shared" si="15"/>
        <v>0.29249412260963364</v>
      </c>
      <c r="AL23" s="21">
        <f t="shared" si="81"/>
        <v>0.50689167890755038</v>
      </c>
      <c r="AM23" s="18">
        <f>LIT_FEC!$B150*$D$9/SUM($D$9:$D$13)</f>
        <v>16427.791368625494</v>
      </c>
      <c r="AN23" s="18">
        <f t="shared" si="16"/>
        <v>3487.0549976708476</v>
      </c>
      <c r="AO23" s="18">
        <f t="shared" si="17"/>
        <v>11967.643193379414</v>
      </c>
      <c r="AP23" s="21">
        <f t="shared" si="18"/>
        <v>0.2913735763445815</v>
      </c>
      <c r="AQ23" s="21">
        <f t="shared" si="82"/>
        <v>1</v>
      </c>
      <c r="AR23" s="18">
        <f>LIT_FEC!$B150*$D$10/SUM($D$9:$D$13)</f>
        <v>34.329501968501525</v>
      </c>
      <c r="AS23" s="18">
        <f t="shared" si="19"/>
        <v>34.329501968501525</v>
      </c>
      <c r="AT23" s="18">
        <f t="shared" si="20"/>
        <v>34.329501968501525</v>
      </c>
      <c r="AU23" s="21">
        <f t="shared" si="21"/>
        <v>1</v>
      </c>
      <c r="AV23" s="18">
        <f t="shared" si="83"/>
        <v>0.62276056030946259</v>
      </c>
      <c r="AW23" s="18">
        <f>LIT_FEC!$B150*$D$11/SUM($D$9:$D$13)</f>
        <v>2967.7352292994537</v>
      </c>
      <c r="AX23" s="65">
        <f t="shared" si="22"/>
        <v>951.87688416120466</v>
      </c>
      <c r="AY23" s="18">
        <f t="shared" si="23"/>
        <v>2393.383962968951</v>
      </c>
      <c r="AZ23" s="21">
        <f t="shared" si="24"/>
        <v>0.39771173321493225</v>
      </c>
      <c r="BA23" s="18">
        <f t="shared" si="84"/>
        <v>0.71027011872112533</v>
      </c>
      <c r="BB23" s="18">
        <f>LIT_FEC!$B150*$D$12/SUM($D$9:$D$13)</f>
        <v>1567.4379062858125</v>
      </c>
      <c r="BC23" s="18">
        <f t="shared" si="25"/>
        <v>1113.3043077856162</v>
      </c>
      <c r="BD23" s="18">
        <f t="shared" si="26"/>
        <v>1567.4379062858125</v>
      </c>
      <c r="BE23" s="21">
        <f t="shared" si="27"/>
        <v>0.71027011872112533</v>
      </c>
      <c r="BF23" s="18">
        <f t="shared" si="85"/>
        <v>1</v>
      </c>
      <c r="BG23" s="18">
        <f>LIT_FEC!$B150*$D$13/SUM($D$9:$D$13)</f>
        <v>4684.3596039003769</v>
      </c>
      <c r="BH23" s="18">
        <f t="shared" si="28"/>
        <v>4684.3596039003769</v>
      </c>
      <c r="BI23" s="18">
        <f t="shared" si="29"/>
        <v>4684.3596039003769</v>
      </c>
      <c r="BJ23" s="21">
        <f t="shared" si="30"/>
        <v>1</v>
      </c>
      <c r="BK23" s="21">
        <f t="shared" si="31"/>
        <v>0.49744992514051656</v>
      </c>
      <c r="BL23" s="18">
        <f t="shared" si="32"/>
        <v>5034.4994415765905</v>
      </c>
      <c r="BM23" s="21">
        <f t="shared" si="33"/>
        <v>0.19603486278627436</v>
      </c>
      <c r="BO23" s="21">
        <f t="shared" si="86"/>
        <v>1</v>
      </c>
      <c r="BP23" s="18">
        <f>LIT_FEC!$B97*$D$14/SUM($D$14:$D$26)</f>
        <v>17.420861915389033</v>
      </c>
      <c r="BQ23" s="18">
        <f t="shared" si="34"/>
        <v>17.420861915389036</v>
      </c>
      <c r="BR23" s="18">
        <f t="shared" si="35"/>
        <v>17.420861915389036</v>
      </c>
      <c r="BS23" s="21">
        <f t="shared" si="36"/>
        <v>1</v>
      </c>
      <c r="BT23" s="21">
        <f t="shared" si="87"/>
        <v>0.55715571201513092</v>
      </c>
      <c r="BU23" s="18">
        <f>LIT_FEC!$B97*$D$15/SUM($D$14:$D$26)</f>
        <v>2616.8414043025641</v>
      </c>
      <c r="BV23" s="18">
        <f t="shared" si="37"/>
        <v>1012.2649211916051</v>
      </c>
      <c r="BW23" s="18">
        <f t="shared" si="38"/>
        <v>2309.7892957123045</v>
      </c>
      <c r="BX23" s="21">
        <f t="shared" si="39"/>
        <v>0.43824989710996032</v>
      </c>
      <c r="BY23" s="21">
        <f t="shared" si="88"/>
        <v>0.58751996228746517</v>
      </c>
      <c r="BZ23" s="18">
        <f>LIT_FEC!$B97*$D$16/SUM($D$14:$D$26)</f>
        <v>0</v>
      </c>
      <c r="CA23" s="18">
        <f t="shared" si="40"/>
        <v>0</v>
      </c>
      <c r="CB23" s="18">
        <f t="shared" si="41"/>
        <v>0</v>
      </c>
      <c r="CC23" s="21">
        <f t="shared" si="42"/>
        <v>0</v>
      </c>
      <c r="CD23" s="21">
        <f t="shared" si="89"/>
        <v>0.34605901664649008</v>
      </c>
      <c r="CE23" s="18">
        <f>LIT_FEC!$B97*$D$17/SUM($D$14:D$26)</f>
        <v>1552.5186124843854</v>
      </c>
      <c r="CF23" s="18">
        <f t="shared" si="43"/>
        <v>379.12068425995909</v>
      </c>
      <c r="CG23" s="18">
        <f t="shared" si="44"/>
        <v>1476.0074173721155</v>
      </c>
      <c r="CH23" s="21">
        <f t="shared" si="45"/>
        <v>0.25685554137319022</v>
      </c>
      <c r="CI23" s="21">
        <f t="shared" si="90"/>
        <v>0.86646070963656996</v>
      </c>
      <c r="CJ23" s="18">
        <f>LIT_FEC!$B97*$D$18/SUM($D$14:D$26)</f>
        <v>73.223089455707807</v>
      </c>
      <c r="CK23" s="18">
        <f t="shared" si="46"/>
        <v>56.341883620130773</v>
      </c>
      <c r="CL23" s="18">
        <f t="shared" si="47"/>
        <v>72.151451426583023</v>
      </c>
      <c r="CM23" s="21">
        <f t="shared" si="48"/>
        <v>0.7808835790013301</v>
      </c>
      <c r="CN23" s="21">
        <f t="shared" si="91"/>
        <v>0.8894987717931655</v>
      </c>
      <c r="CO23" s="18">
        <f>LIT_FEC!$B97*$D$19/SUM($D$14:D$26)</f>
        <v>332.95947351867801</v>
      </c>
      <c r="CP23" s="18">
        <f t="shared" si="49"/>
        <v>252.44233119662735</v>
      </c>
      <c r="CQ23" s="18">
        <f t="shared" si="50"/>
        <v>310.41009551242939</v>
      </c>
      <c r="CR23" s="21">
        <f t="shared" si="51"/>
        <v>0.81325425572867394</v>
      </c>
      <c r="CS23" s="18">
        <f t="shared" si="92"/>
        <v>0.78002818971617671</v>
      </c>
      <c r="CT23" s="18">
        <f>LIT_FEC!$B97*$D$20/SUM($D$14:D$26)</f>
        <v>122.80754269846433</v>
      </c>
      <c r="CU23" s="18">
        <f t="shared" si="52"/>
        <v>51.737488126722042</v>
      </c>
      <c r="CV23" s="18">
        <f t="shared" si="53"/>
        <v>92.644668674508665</v>
      </c>
      <c r="CW23" s="21">
        <f t="shared" si="54"/>
        <v>0.55845078693619099</v>
      </c>
      <c r="CX23" s="21">
        <f t="shared" si="93"/>
        <v>0.73654449321013471</v>
      </c>
      <c r="CY23" s="18">
        <f>LIT_FEC!$B97*$D$21/SUM($D$14:D$26)</f>
        <v>2079.8611033064321</v>
      </c>
      <c r="CZ23" s="18">
        <f t="shared" si="55"/>
        <v>924.73558668334385</v>
      </c>
      <c r="DA23" s="18">
        <f t="shared" si="56"/>
        <v>1751.6601135862202</v>
      </c>
      <c r="DB23" s="21">
        <f t="shared" si="57"/>
        <v>0.52791953159800398</v>
      </c>
      <c r="DC23" s="21">
        <f t="shared" si="94"/>
        <v>0.80182998957670448</v>
      </c>
      <c r="DD23" s="18">
        <f>LIT_FEC!$B97*$D$22/SUM($D$14:D$26)</f>
        <v>505.34453578351469</v>
      </c>
      <c r="DE23" s="18">
        <f t="shared" si="58"/>
        <v>251.93767597058019</v>
      </c>
      <c r="DF23" s="18">
        <f t="shared" si="59"/>
        <v>407.60188322811712</v>
      </c>
      <c r="DG23" s="21">
        <f t="shared" si="60"/>
        <v>0.61809742873435547</v>
      </c>
      <c r="DH23" s="21">
        <f t="shared" si="95"/>
        <v>0.54834441029560499</v>
      </c>
      <c r="DI23" s="18">
        <f>LIT_FEC!$B97*$D$23/SUM($D$14:D$26)</f>
        <v>1096.5453193948122</v>
      </c>
      <c r="DJ23" s="45">
        <f t="shared" si="61"/>
        <v>351.2673021145481</v>
      </c>
      <c r="DK23" s="18">
        <f t="shared" si="62"/>
        <v>1074.5893489048631</v>
      </c>
      <c r="DL23" s="21">
        <f t="shared" si="63"/>
        <v>0.32688515149766939</v>
      </c>
      <c r="DM23" s="21">
        <f t="shared" si="96"/>
        <v>0.59164132518914414</v>
      </c>
      <c r="DN23" s="18">
        <f>LIT_FEC!$B97*$D$24/SUM($D$14:D$26)</f>
        <v>421.65939537354507</v>
      </c>
      <c r="DO23" s="18">
        <f t="shared" si="64"/>
        <v>134.76665906972659</v>
      </c>
      <c r="DP23" s="18">
        <f t="shared" si="65"/>
        <v>395.56403888729272</v>
      </c>
      <c r="DQ23" s="21">
        <f t="shared" si="66"/>
        <v>0.34069492122898809</v>
      </c>
      <c r="DR23" s="21">
        <f t="shared" si="97"/>
        <v>0.85438071814948058</v>
      </c>
      <c r="DS23" s="18">
        <f>LIT_FEC!$B97*$D$25/SUM($D$14:D$26)</f>
        <v>293.84487161611543</v>
      </c>
      <c r="DT23" s="18">
        <f t="shared" si="67"/>
        <v>178.57451917203687</v>
      </c>
      <c r="DU23" s="18">
        <f t="shared" si="68"/>
        <v>254.66440710559226</v>
      </c>
      <c r="DV23" s="21">
        <f t="shared" si="69"/>
        <v>0.70121506653261512</v>
      </c>
      <c r="DW23" s="21">
        <f t="shared" si="98"/>
        <v>0.79968195860441049</v>
      </c>
      <c r="DX23" s="18">
        <f>LIT_FEC!$B97*$D$26/SUM($D$14:D$26)</f>
        <v>739.49045373137153</v>
      </c>
      <c r="DY23" s="18">
        <f t="shared" si="70"/>
        <v>494.22608855400989</v>
      </c>
      <c r="DZ23" s="18">
        <f t="shared" si="71"/>
        <v>738.78652602752686</v>
      </c>
      <c r="EA23" s="21">
        <f t="shared" si="72"/>
        <v>0.66897008965698879</v>
      </c>
      <c r="EB23" s="21">
        <f t="shared" si="73"/>
        <v>0.46115068174474105</v>
      </c>
      <c r="EC23" s="18">
        <f t="shared" si="74"/>
        <v>951.22655522803507</v>
      </c>
      <c r="ED23" s="21">
        <f t="shared" si="75"/>
        <v>9.6546556347797532E-2</v>
      </c>
    </row>
    <row r="24" spans="1:134" ht="19.5" customHeight="1" thickBot="1" x14ac:dyDescent="0.4">
      <c r="A24" s="77"/>
      <c r="B24" s="31" t="s">
        <v>43</v>
      </c>
      <c r="C24" s="34">
        <v>138.80000000000001</v>
      </c>
      <c r="D24" s="34">
        <v>486.50599999999997</v>
      </c>
      <c r="E24" s="21">
        <f t="shared" si="0"/>
        <v>0.28529966742445112</v>
      </c>
      <c r="F24" s="21">
        <f t="shared" si="101"/>
        <v>0.52812786965012748</v>
      </c>
      <c r="G24" s="55">
        <v>0.38</v>
      </c>
      <c r="H24" s="23" t="s">
        <v>187</v>
      </c>
      <c r="I24" s="23" t="s">
        <v>182</v>
      </c>
      <c r="J24" s="56">
        <f>'Efficiency Assumptions'!G72</f>
        <v>2.8037383177570097</v>
      </c>
      <c r="K24" s="84"/>
      <c r="L24" s="58">
        <f t="shared" si="100"/>
        <v>0.63213929244759903</v>
      </c>
      <c r="M24" s="47">
        <f t="shared" si="76"/>
        <v>2041</v>
      </c>
      <c r="N24" s="21">
        <f t="shared" si="77"/>
        <v>0.66751026653812862</v>
      </c>
      <c r="O24" s="18">
        <f>LIT_FEC!B204*D$5/SUM(D$5:D$8)</f>
        <v>374.24533383270762</v>
      </c>
      <c r="P24" s="18">
        <f t="shared" si="1"/>
        <v>62.289404222972379</v>
      </c>
      <c r="Q24" s="18">
        <f t="shared" si="2"/>
        <v>207.48864890563277</v>
      </c>
      <c r="R24" s="21">
        <f t="shared" si="3"/>
        <v>0.30020632237719191</v>
      </c>
      <c r="S24" s="21">
        <f t="shared" si="78"/>
        <v>0.54623035104773587</v>
      </c>
      <c r="T24" s="18">
        <f>LIT_FEC!B204*D$6/SUM(D$5:D$8)</f>
        <v>25828.603472726387</v>
      </c>
      <c r="U24" s="18">
        <f t="shared" si="4"/>
        <v>5673.9863832616547</v>
      </c>
      <c r="V24" s="18">
        <f t="shared" si="5"/>
        <v>17458.243752208367</v>
      </c>
      <c r="W24" s="21">
        <f t="shared" si="6"/>
        <v>0.32500327431526027</v>
      </c>
      <c r="X24" s="21">
        <f t="shared" si="79"/>
        <v>0</v>
      </c>
      <c r="Y24" s="18">
        <f>LIT_FEC!$B204*$D$7/SUM($D$5:$D$8)</f>
        <v>6.6587142387928893</v>
      </c>
      <c r="Z24" s="18">
        <f t="shared" si="7"/>
        <v>0</v>
      </c>
      <c r="AA24" s="18">
        <f t="shared" si="8"/>
        <v>6.6587142387928893</v>
      </c>
      <c r="AB24" s="21">
        <f t="shared" si="9"/>
        <v>0</v>
      </c>
      <c r="AC24" s="21">
        <f t="shared" si="80"/>
        <v>0</v>
      </c>
      <c r="AD24" s="18">
        <f>LIT_FEC!$B204*$D$8/SUM($D$5:$D$8)</f>
        <v>31.288738211095296</v>
      </c>
      <c r="AE24" s="18">
        <f t="shared" si="10"/>
        <v>0</v>
      </c>
      <c r="AF24" s="18">
        <f t="shared" si="11"/>
        <v>31.288738211095296</v>
      </c>
      <c r="AG24" s="21">
        <f t="shared" si="12"/>
        <v>0</v>
      </c>
      <c r="AH24" s="21">
        <f t="shared" si="13"/>
        <v>0.32401601446322298</v>
      </c>
      <c r="AI24" s="18">
        <f t="shared" si="14"/>
        <v>8537.1164054450928</v>
      </c>
      <c r="AJ24" s="21">
        <f t="shared" si="15"/>
        <v>0.32533755154301508</v>
      </c>
      <c r="AL24" s="21">
        <f t="shared" si="81"/>
        <v>0.55540604933427762</v>
      </c>
      <c r="AM24" s="18">
        <f>LIT_FEC!$B151*$D$9/SUM($D$9:$D$13)</f>
        <v>16445.745253038753</v>
      </c>
      <c r="AN24" s="18">
        <f t="shared" si="16"/>
        <v>3824.9751747495079</v>
      </c>
      <c r="AO24" s="18">
        <f t="shared" si="17"/>
        <v>11479.558817556996</v>
      </c>
      <c r="AP24" s="21">
        <f t="shared" si="18"/>
        <v>0.33319879583695655</v>
      </c>
      <c r="AQ24" s="21">
        <f t="shared" si="82"/>
        <v>1</v>
      </c>
      <c r="AR24" s="18">
        <f>LIT_FEC!$B151*$D$10/SUM($D$9:$D$13)</f>
        <v>34.367020579279867</v>
      </c>
      <c r="AS24" s="18">
        <f t="shared" si="19"/>
        <v>34.367020579279867</v>
      </c>
      <c r="AT24" s="18">
        <f t="shared" si="20"/>
        <v>34.367020579279867</v>
      </c>
      <c r="AU24" s="21">
        <f t="shared" si="21"/>
        <v>1</v>
      </c>
      <c r="AV24" s="18">
        <f t="shared" si="83"/>
        <v>0.65087844536815465</v>
      </c>
      <c r="AW24" s="18">
        <f>LIT_FEC!$B151*$D$11/SUM($D$9:$D$13)</f>
        <v>2970.9786583204577</v>
      </c>
      <c r="AX24" s="65">
        <f t="shared" si="22"/>
        <v>995.94177465194696</v>
      </c>
      <c r="AY24" s="18">
        <f t="shared" si="23"/>
        <v>2331.4628045910144</v>
      </c>
      <c r="AZ24" s="21">
        <f t="shared" si="24"/>
        <v>0.42717463589416138</v>
      </c>
      <c r="BA24" s="18">
        <f t="shared" si="84"/>
        <v>0.76127148520268373</v>
      </c>
      <c r="BB24" s="18">
        <f>LIT_FEC!$B151*$D$12/SUM($D$9:$D$13)</f>
        <v>1569.1509545199265</v>
      </c>
      <c r="BC24" s="18">
        <f t="shared" si="25"/>
        <v>1194.5498776545933</v>
      </c>
      <c r="BD24" s="18">
        <f t="shared" si="26"/>
        <v>1569.1509545199265</v>
      </c>
      <c r="BE24" s="21">
        <f t="shared" si="27"/>
        <v>0.76127148520268373</v>
      </c>
      <c r="BF24" s="18">
        <f t="shared" si="85"/>
        <v>1</v>
      </c>
      <c r="BG24" s="18">
        <f>LIT_FEC!$B151*$D$13/SUM($D$9:$D$13)</f>
        <v>4689.4791266037873</v>
      </c>
      <c r="BH24" s="18">
        <f t="shared" si="28"/>
        <v>4689.4791266037873</v>
      </c>
      <c r="BI24" s="18">
        <f t="shared" si="29"/>
        <v>4689.4791266037873</v>
      </c>
      <c r="BJ24" s="21">
        <f t="shared" si="30"/>
        <v>1</v>
      </c>
      <c r="BK24" s="21">
        <f t="shared" si="31"/>
        <v>0.53418737426354512</v>
      </c>
      <c r="BL24" s="18">
        <f t="shared" si="32"/>
        <v>5605.7022892112</v>
      </c>
      <c r="BM24" s="21">
        <f t="shared" si="33"/>
        <v>0.21803823877992062</v>
      </c>
      <c r="BO24" s="21">
        <f t="shared" si="86"/>
        <v>1</v>
      </c>
      <c r="BP24" s="18">
        <f>LIT_FEC!$B98*$D$14/SUM($D$14:$D$26)</f>
        <v>17.370092045550884</v>
      </c>
      <c r="BQ24" s="18">
        <f t="shared" si="34"/>
        <v>17.370092045550887</v>
      </c>
      <c r="BR24" s="18">
        <f t="shared" si="35"/>
        <v>17.370092045550887</v>
      </c>
      <c r="BS24" s="21">
        <f t="shared" si="36"/>
        <v>1</v>
      </c>
      <c r="BT24" s="21">
        <f t="shared" si="87"/>
        <v>0.58811708902698845</v>
      </c>
      <c r="BU24" s="18">
        <f>LIT_FEC!$B98*$D$15/SUM($D$14:$D$26)</f>
        <v>2609.2151055505974</v>
      </c>
      <c r="BV24" s="18">
        <f t="shared" si="37"/>
        <v>1065.40291389713</v>
      </c>
      <c r="BW24" s="18">
        <f t="shared" si="38"/>
        <v>2268.6940916418885</v>
      </c>
      <c r="BX24" s="21">
        <f t="shared" si="39"/>
        <v>0.46961065302818406</v>
      </c>
      <c r="BY24" s="21">
        <f t="shared" si="88"/>
        <v>0.65346447057667778</v>
      </c>
      <c r="BZ24" s="18">
        <f>LIT_FEC!$B98*$D$16/SUM($D$14:$D$26)</f>
        <v>0</v>
      </c>
      <c r="CA24" s="18">
        <f t="shared" si="40"/>
        <v>0</v>
      </c>
      <c r="CB24" s="18">
        <f t="shared" si="41"/>
        <v>0</v>
      </c>
      <c r="CC24" s="21">
        <f t="shared" si="42"/>
        <v>0</v>
      </c>
      <c r="CD24" s="21">
        <f t="shared" si="89"/>
        <v>0.36081946004831078</v>
      </c>
      <c r="CE24" s="18">
        <f>LIT_FEC!$B98*$D$17/SUM($D$14:D$26)</f>
        <v>1547.9940850379273</v>
      </c>
      <c r="CF24" s="18">
        <f t="shared" si="43"/>
        <v>394.13930267007794</v>
      </c>
      <c r="CG24" s="18">
        <f t="shared" si="44"/>
        <v>1463.1431134728239</v>
      </c>
      <c r="CH24" s="21">
        <f t="shared" si="45"/>
        <v>0.26937850374361116</v>
      </c>
      <c r="CI24" s="21">
        <f t="shared" si="90"/>
        <v>0.86871473744354477</v>
      </c>
      <c r="CJ24" s="18">
        <f>LIT_FEC!$B98*$D$18/SUM($D$14:D$26)</f>
        <v>73.009694347080625</v>
      </c>
      <c r="CK24" s="18">
        <f t="shared" si="46"/>
        <v>56.32382738210584</v>
      </c>
      <c r="CL24" s="18">
        <f t="shared" si="47"/>
        <v>71.821246985829461</v>
      </c>
      <c r="CM24" s="21">
        <f t="shared" si="48"/>
        <v>0.78422235405100515</v>
      </c>
      <c r="CN24" s="21">
        <f t="shared" si="91"/>
        <v>0.90001012385154588</v>
      </c>
      <c r="CO24" s="18">
        <f>LIT_FEC!$B98*$D$19/SUM($D$14:D$26)</f>
        <v>331.98912490940569</v>
      </c>
      <c r="CP24" s="18">
        <f t="shared" si="49"/>
        <v>254.68109321577725</v>
      </c>
      <c r="CQ24" s="18">
        <f t="shared" si="50"/>
        <v>306.9818481414581</v>
      </c>
      <c r="CR24" s="21">
        <f t="shared" si="51"/>
        <v>0.82962916132558917</v>
      </c>
      <c r="CS24" s="18">
        <f t="shared" si="92"/>
        <v>0.80832647720078188</v>
      </c>
      <c r="CT24" s="18">
        <f>LIT_FEC!$B98*$D$20/SUM($D$14:D$26)</f>
        <v>122.44964290061127</v>
      </c>
      <c r="CU24" s="18">
        <f t="shared" si="52"/>
        <v>53.458199534345859</v>
      </c>
      <c r="CV24" s="18">
        <f t="shared" si="53"/>
        <v>88.998993458095541</v>
      </c>
      <c r="CW24" s="21">
        <f t="shared" si="54"/>
        <v>0.60066072050035291</v>
      </c>
      <c r="CX24" s="21">
        <f t="shared" si="93"/>
        <v>0.75610526787896482</v>
      </c>
      <c r="CY24" s="18">
        <f>LIT_FEC!$B98*$D$21/SUM($D$14:D$26)</f>
        <v>2073.7997340120105</v>
      </c>
      <c r="CZ24" s="18">
        <f t="shared" si="55"/>
        <v>946.52770291081117</v>
      </c>
      <c r="DA24" s="18">
        <f t="shared" si="56"/>
        <v>1709.8245953996143</v>
      </c>
      <c r="DB24" s="21">
        <f t="shared" si="57"/>
        <v>0.55358175654830366</v>
      </c>
      <c r="DC24" s="21">
        <f t="shared" si="94"/>
        <v>0.82510758123263273</v>
      </c>
      <c r="DD24" s="18">
        <f>LIT_FEC!$B98*$D$22/SUM($D$14:D$26)</f>
        <v>503.87180289407678</v>
      </c>
      <c r="DE24" s="18">
        <f t="shared" si="58"/>
        <v>258.49603284528126</v>
      </c>
      <c r="DF24" s="18">
        <f t="shared" si="59"/>
        <v>395.47512943333493</v>
      </c>
      <c r="DG24" s="21">
        <f t="shared" si="60"/>
        <v>0.65363410643716813</v>
      </c>
      <c r="DH24" s="21">
        <f t="shared" si="95"/>
        <v>0.55090908968634078</v>
      </c>
      <c r="DI24" s="18">
        <f>LIT_FEC!$B98*$D$23/SUM($D$14:D$26)</f>
        <v>1093.349641511152</v>
      </c>
      <c r="DJ24" s="45">
        <f t="shared" si="61"/>
        <v>351.8817344082824</v>
      </c>
      <c r="DK24" s="18">
        <f t="shared" si="62"/>
        <v>1069.0004541145465</v>
      </c>
      <c r="DL24" s="21">
        <f t="shared" si="63"/>
        <v>0.3291689288380576</v>
      </c>
      <c r="DM24" s="21">
        <f t="shared" si="96"/>
        <v>0.59877021248509599</v>
      </c>
      <c r="DN24" s="18">
        <f>LIT_FEC!$B98*$D$24/SUM($D$14:D$26)</f>
        <v>420.43054729914309</v>
      </c>
      <c r="DO24" s="18">
        <f t="shared" si="64"/>
        <v>135.99302349138009</v>
      </c>
      <c r="DP24" s="18">
        <f t="shared" si="65"/>
        <v>391.49077779290064</v>
      </c>
      <c r="DQ24" s="21">
        <f t="shared" si="66"/>
        <v>0.34737222740741203</v>
      </c>
      <c r="DR24" s="21">
        <f t="shared" si="97"/>
        <v>0.86840776597132874</v>
      </c>
      <c r="DS24" s="18">
        <f>LIT_FEC!$B98*$D$25/SUM($D$14:D$26)</f>
        <v>292.98851525688275</v>
      </c>
      <c r="DT24" s="18">
        <f t="shared" si="67"/>
        <v>180.97735260009301</v>
      </c>
      <c r="DU24" s="18">
        <f t="shared" si="68"/>
        <v>249.53735134274325</v>
      </c>
      <c r="DV24" s="21">
        <f t="shared" si="69"/>
        <v>0.72525155703651734</v>
      </c>
      <c r="DW24" s="21">
        <f t="shared" si="98"/>
        <v>0.7998130238173824</v>
      </c>
      <c r="DX24" s="18">
        <f>LIT_FEC!$B98*$D$26/SUM($D$14:D$26)</f>
        <v>737.33534600680298</v>
      </c>
      <c r="DY24" s="18">
        <f t="shared" si="70"/>
        <v>492.86652426273616</v>
      </c>
      <c r="DZ24" s="18">
        <f t="shared" si="71"/>
        <v>736.55468966631361</v>
      </c>
      <c r="EA24" s="21">
        <f t="shared" si="72"/>
        <v>0.66915129477489699</v>
      </c>
      <c r="EB24" s="21">
        <f t="shared" si="73"/>
        <v>0.47989160035583694</v>
      </c>
      <c r="EC24" s="18">
        <f t="shared" si="74"/>
        <v>1054.9109482761414</v>
      </c>
      <c r="ED24" s="21">
        <f t="shared" si="75"/>
        <v>0.10738315015574931</v>
      </c>
    </row>
    <row r="25" spans="1:134" ht="19.5" customHeight="1" thickBot="1" x14ac:dyDescent="0.4">
      <c r="A25" s="77"/>
      <c r="B25" s="31" t="s">
        <v>44</v>
      </c>
      <c r="C25" s="34">
        <v>175.9</v>
      </c>
      <c r="D25" s="34">
        <v>339.03500000000003</v>
      </c>
      <c r="E25" s="21">
        <f t="shared" si="0"/>
        <v>0.51882548999365841</v>
      </c>
      <c r="F25" s="21">
        <f t="shared" si="101"/>
        <v>0.72940942302429146</v>
      </c>
      <c r="G25" s="55">
        <v>0.85</v>
      </c>
      <c r="H25" s="23" t="s">
        <v>187</v>
      </c>
      <c r="I25" s="23" t="s">
        <v>181</v>
      </c>
      <c r="J25" s="56">
        <f>'Efficiency Assumptions'!G73</f>
        <v>2.5</v>
      </c>
      <c r="K25" s="84"/>
      <c r="L25" s="58">
        <f t="shared" si="100"/>
        <v>0.93406593406593408</v>
      </c>
      <c r="M25" s="47">
        <f t="shared" si="76"/>
        <v>2042</v>
      </c>
      <c r="N25" s="21">
        <f t="shared" si="77"/>
        <v>0.71214721578379292</v>
      </c>
      <c r="O25" s="18">
        <f>LIT_FEC!B205*D$5/SUM(D$5:D$8)</f>
        <v>373.83960395795521</v>
      </c>
      <c r="P25" s="18">
        <f t="shared" si="1"/>
        <v>66.382701404426655</v>
      </c>
      <c r="Q25" s="18">
        <f t="shared" si="2"/>
        <v>191.95257746851871</v>
      </c>
      <c r="R25" s="21">
        <f t="shared" si="3"/>
        <v>0.34582865351372416</v>
      </c>
      <c r="S25" s="21">
        <f t="shared" si="78"/>
        <v>0.59495294525308384</v>
      </c>
      <c r="T25" s="18">
        <f>LIT_FEC!B205*D$6/SUM(D$5:D$8)</f>
        <v>25800.601958466486</v>
      </c>
      <c r="U25" s="18">
        <f t="shared" si="4"/>
        <v>6173.3939772741278</v>
      </c>
      <c r="V25" s="18">
        <f t="shared" si="5"/>
        <v>16680.936765964445</v>
      </c>
      <c r="W25" s="21">
        <f t="shared" si="6"/>
        <v>0.37008676814063801</v>
      </c>
      <c r="X25" s="21">
        <f t="shared" si="79"/>
        <v>0</v>
      </c>
      <c r="Y25" s="18">
        <f>LIT_FEC!$B205*$D$7/SUM($D$5:$D$8)</f>
        <v>6.6514953397181849</v>
      </c>
      <c r="Z25" s="18">
        <f t="shared" si="7"/>
        <v>0</v>
      </c>
      <c r="AA25" s="18">
        <f t="shared" si="8"/>
        <v>6.6514953397181849</v>
      </c>
      <c r="AB25" s="21">
        <f t="shared" si="9"/>
        <v>0</v>
      </c>
      <c r="AC25" s="21">
        <f t="shared" si="80"/>
        <v>0</v>
      </c>
      <c r="AD25" s="18">
        <f>LIT_FEC!$B205*$D$8/SUM($D$5:$D$8)</f>
        <v>31.254817211451723</v>
      </c>
      <c r="AE25" s="18">
        <f t="shared" si="10"/>
        <v>0</v>
      </c>
      <c r="AF25" s="18">
        <f t="shared" si="11"/>
        <v>31.254817211451723</v>
      </c>
      <c r="AG25" s="21">
        <f t="shared" si="12"/>
        <v>0</v>
      </c>
      <c r="AH25" s="21">
        <f t="shared" si="13"/>
        <v>0.36898185074281337</v>
      </c>
      <c r="AI25" s="18">
        <f t="shared" si="14"/>
        <v>9301.5522189914809</v>
      </c>
      <c r="AJ25" s="21">
        <f t="shared" si="15"/>
        <v>0.35485383695336503</v>
      </c>
      <c r="AL25" s="21">
        <f t="shared" si="81"/>
        <v>0.59900576015994289</v>
      </c>
      <c r="AM25" s="18">
        <f>LIT_FEC!$B152*$D$9/SUM($D$9:$D$13)</f>
        <v>16464.498512524016</v>
      </c>
      <c r="AN25" s="18">
        <f t="shared" si="16"/>
        <v>4129.9420927385681</v>
      </c>
      <c r="AO25" s="18">
        <f t="shared" si="17"/>
        <v>11041.741194716151</v>
      </c>
      <c r="AP25" s="21">
        <f t="shared" si="18"/>
        <v>0.3740299668239721</v>
      </c>
      <c r="AQ25" s="21">
        <f t="shared" si="82"/>
        <v>1</v>
      </c>
      <c r="AR25" s="18">
        <f>LIT_FEC!$B152*$D$10/SUM($D$9:$D$13)</f>
        <v>34.406209660999316</v>
      </c>
      <c r="AS25" s="18">
        <f t="shared" si="19"/>
        <v>34.406209660999316</v>
      </c>
      <c r="AT25" s="18">
        <f t="shared" si="20"/>
        <v>34.406209660999316</v>
      </c>
      <c r="AU25" s="21">
        <f t="shared" si="21"/>
        <v>1</v>
      </c>
      <c r="AV25" s="18">
        <f t="shared" si="83"/>
        <v>0.67614789948669929</v>
      </c>
      <c r="AW25" s="18">
        <f>LIT_FEC!$B152*$D$11/SUM($D$9:$D$13)</f>
        <v>2974.3664971108205</v>
      </c>
      <c r="AX25" s="65">
        <f t="shared" si="22"/>
        <v>1035.7876089843169</v>
      </c>
      <c r="AY25" s="18">
        <f t="shared" si="23"/>
        <v>2276.0561697158992</v>
      </c>
      <c r="AZ25" s="21">
        <f t="shared" si="24"/>
        <v>0.45507998561986523</v>
      </c>
      <c r="BA25" s="18">
        <f t="shared" si="84"/>
        <v>0.80710625149462523</v>
      </c>
      <c r="BB25" s="18">
        <f>LIT_FEC!$B152*$D$12/SUM($D$9:$D$13)</f>
        <v>1570.9402741627212</v>
      </c>
      <c r="BC25" s="18">
        <f t="shared" si="25"/>
        <v>1267.9157160014126</v>
      </c>
      <c r="BD25" s="18">
        <f t="shared" si="26"/>
        <v>1570.9402741627212</v>
      </c>
      <c r="BE25" s="21">
        <f t="shared" si="27"/>
        <v>0.80710625149462523</v>
      </c>
      <c r="BF25" s="18">
        <f t="shared" si="85"/>
        <v>1</v>
      </c>
      <c r="BG25" s="18">
        <f>LIT_FEC!$B152*$D$13/SUM($D$9:$D$13)</f>
        <v>4694.8265898873797</v>
      </c>
      <c r="BH25" s="18">
        <f t="shared" si="28"/>
        <v>4694.8265898873797</v>
      </c>
      <c r="BI25" s="18">
        <f t="shared" si="29"/>
        <v>4694.8265898873797</v>
      </c>
      <c r="BJ25" s="21">
        <f t="shared" si="30"/>
        <v>1</v>
      </c>
      <c r="BK25" s="21">
        <f t="shared" si="31"/>
        <v>0.56901289827457036</v>
      </c>
      <c r="BL25" s="18">
        <f t="shared" si="32"/>
        <v>6121.0676452027838</v>
      </c>
      <c r="BM25" s="21">
        <f t="shared" si="33"/>
        <v>0.23781260299557699</v>
      </c>
      <c r="BO25" s="21">
        <f t="shared" si="86"/>
        <v>1</v>
      </c>
      <c r="BP25" s="18">
        <f>LIT_FEC!$B99*$D$14/SUM($D$14:$D$26)</f>
        <v>17.320290418431625</v>
      </c>
      <c r="BQ25" s="18">
        <f t="shared" si="34"/>
        <v>17.320290418431629</v>
      </c>
      <c r="BR25" s="18">
        <f t="shared" si="35"/>
        <v>17.320290418431629</v>
      </c>
      <c r="BS25" s="21">
        <f t="shared" si="36"/>
        <v>1</v>
      </c>
      <c r="BT25" s="21">
        <f t="shared" si="87"/>
        <v>0.61594198034491643</v>
      </c>
      <c r="BU25" s="18">
        <f>LIT_FEC!$B99*$D$15/SUM($D$14:$D$26)</f>
        <v>2601.7342495240541</v>
      </c>
      <c r="BV25" s="18">
        <f t="shared" si="37"/>
        <v>1112.609941780968</v>
      </c>
      <c r="BW25" s="18">
        <f t="shared" si="38"/>
        <v>2231.395488723484</v>
      </c>
      <c r="BX25" s="21">
        <f t="shared" si="39"/>
        <v>0.49861620111881627</v>
      </c>
      <c r="BY25" s="21">
        <f t="shared" si="88"/>
        <v>0.71272859101482311</v>
      </c>
      <c r="BZ25" s="18">
        <f>LIT_FEC!$B99*$D$16/SUM($D$14:$D$26)</f>
        <v>0</v>
      </c>
      <c r="CA25" s="18">
        <f t="shared" si="40"/>
        <v>0</v>
      </c>
      <c r="CB25" s="18">
        <f t="shared" si="41"/>
        <v>0</v>
      </c>
      <c r="CC25" s="21">
        <f t="shared" si="42"/>
        <v>0</v>
      </c>
      <c r="CD25" s="21">
        <f t="shared" si="89"/>
        <v>0.37408462371667084</v>
      </c>
      <c r="CE25" s="18">
        <f>LIT_FEC!$B99*$D$17/SUM($D$14:D$26)</f>
        <v>1543.5558457929244</v>
      </c>
      <c r="CF25" s="18">
        <f t="shared" si="43"/>
        <v>407.45785915404514</v>
      </c>
      <c r="CG25" s="18">
        <f t="shared" si="44"/>
        <v>1451.2748928454234</v>
      </c>
      <c r="CH25" s="21">
        <f t="shared" si="45"/>
        <v>0.28075856694190315</v>
      </c>
      <c r="CI25" s="21">
        <f t="shared" si="90"/>
        <v>0.8707404250843962</v>
      </c>
      <c r="CJ25" s="18">
        <f>LIT_FEC!$B99*$D$18/SUM($D$14:D$26)</f>
        <v>72.800368940834687</v>
      </c>
      <c r="CK25" s="18">
        <f t="shared" si="46"/>
        <v>56.293302419997573</v>
      </c>
      <c r="CL25" s="18">
        <f t="shared" si="47"/>
        <v>71.507855101555265</v>
      </c>
      <c r="CM25" s="21">
        <f t="shared" si="48"/>
        <v>0.78723242838216834</v>
      </c>
      <c r="CN25" s="21">
        <f t="shared" si="91"/>
        <v>0.90945664260673231</v>
      </c>
      <c r="CO25" s="18">
        <f>LIT_FEC!$B99*$D$19/SUM($D$14:D$26)</f>
        <v>331.03728201974059</v>
      </c>
      <c r="CP25" s="18">
        <f t="shared" si="49"/>
        <v>256.61637162122599</v>
      </c>
      <c r="CQ25" s="18">
        <f t="shared" si="50"/>
        <v>303.8402412764006</v>
      </c>
      <c r="CR25" s="21">
        <f t="shared" si="51"/>
        <v>0.84457664509219665</v>
      </c>
      <c r="CS25" s="18">
        <f t="shared" si="92"/>
        <v>0.83375805840729811</v>
      </c>
      <c r="CT25" s="18">
        <f>LIT_FEC!$B99*$D$20/SUM($D$14:D$26)</f>
        <v>122.09856868404231</v>
      </c>
      <c r="CU25" s="18">
        <f t="shared" si="52"/>
        <v>54.982010638855321</v>
      </c>
      <c r="CV25" s="18">
        <f t="shared" si="53"/>
        <v>85.718810735134312</v>
      </c>
      <c r="CW25" s="21">
        <f t="shared" si="54"/>
        <v>0.64142292884517782</v>
      </c>
      <c r="CX25" s="21">
        <f t="shared" si="93"/>
        <v>0.77368447403139884</v>
      </c>
      <c r="CY25" s="18">
        <f>LIT_FEC!$B99*$D$21/SUM($D$14:D$26)</f>
        <v>2067.8539623487145</v>
      </c>
      <c r="CZ25" s="18">
        <f t="shared" si="55"/>
        <v>965.7572947145942</v>
      </c>
      <c r="DA25" s="18">
        <f t="shared" si="56"/>
        <v>1672.0073147404473</v>
      </c>
      <c r="DB25" s="21">
        <f t="shared" si="57"/>
        <v>0.57760351058303394</v>
      </c>
      <c r="DC25" s="21">
        <f t="shared" si="94"/>
        <v>0.84602707902245189</v>
      </c>
      <c r="DD25" s="18">
        <f>LIT_FEC!$B99*$D$22/SUM($D$14:D$26)</f>
        <v>502.4271567990628</v>
      </c>
      <c r="DE25" s="18">
        <f t="shared" si="58"/>
        <v>264.28993166033376</v>
      </c>
      <c r="DF25" s="18">
        <f t="shared" si="59"/>
        <v>384.53872088856315</v>
      </c>
      <c r="DG25" s="21">
        <f t="shared" si="60"/>
        <v>0.68729081703302197</v>
      </c>
      <c r="DH25" s="21">
        <f t="shared" si="95"/>
        <v>0.55321395892020031</v>
      </c>
      <c r="DI25" s="18">
        <f>LIT_FEC!$B99*$D$23/SUM($D$14:D$26)</f>
        <v>1090.2149090632915</v>
      </c>
      <c r="DJ25" s="45">
        <f t="shared" si="61"/>
        <v>352.34082404429608</v>
      </c>
      <c r="DK25" s="18">
        <f t="shared" si="62"/>
        <v>1063.7335833340746</v>
      </c>
      <c r="DL25" s="21">
        <f t="shared" si="63"/>
        <v>0.3312303283120473</v>
      </c>
      <c r="DM25" s="21">
        <f t="shared" si="96"/>
        <v>0.60517692088671682</v>
      </c>
      <c r="DN25" s="18">
        <f>LIT_FEC!$B99*$D$24/SUM($D$14:D$26)</f>
        <v>419.22513484126847</v>
      </c>
      <c r="DO25" s="18">
        <f t="shared" si="64"/>
        <v>137.05404245977215</v>
      </c>
      <c r="DP25" s="18">
        <f t="shared" si="65"/>
        <v>387.75125235227404</v>
      </c>
      <c r="DQ25" s="21">
        <f t="shared" si="66"/>
        <v>0.35345867132173137</v>
      </c>
      <c r="DR25" s="21">
        <f t="shared" si="97"/>
        <v>0.88101382935813566</v>
      </c>
      <c r="DS25" s="18">
        <f>LIT_FEC!$B99*$D$25/SUM($D$14:D$26)</f>
        <v>292.14849064741122</v>
      </c>
      <c r="DT25" s="18">
        <f t="shared" si="67"/>
        <v>183.07806260048508</v>
      </c>
      <c r="DU25" s="18">
        <f t="shared" si="68"/>
        <v>244.89252246325998</v>
      </c>
      <c r="DV25" s="21">
        <f t="shared" si="69"/>
        <v>0.74758535196986831</v>
      </c>
      <c r="DW25" s="21">
        <f t="shared" si="98"/>
        <v>0.79993081170857039</v>
      </c>
      <c r="DX25" s="18">
        <f>LIT_FEC!$B99*$D$26/SUM($D$14:D$26)</f>
        <v>735.22133878868442</v>
      </c>
      <c r="DY25" s="18">
        <f t="shared" si="70"/>
        <v>491.52580729316242</v>
      </c>
      <c r="DZ25" s="18">
        <f t="shared" si="71"/>
        <v>734.37232422001102</v>
      </c>
      <c r="EA25" s="21">
        <f t="shared" si="72"/>
        <v>0.66931417631406531</v>
      </c>
      <c r="EB25" s="21">
        <f t="shared" si="73"/>
        <v>0.49712651543135994</v>
      </c>
      <c r="EC25" s="18">
        <f t="shared" si="74"/>
        <v>1147.2843007693991</v>
      </c>
      <c r="ED25" s="21">
        <f t="shared" si="75"/>
        <v>0.11712196263968049</v>
      </c>
    </row>
    <row r="26" spans="1:134" ht="19.5" customHeight="1" thickBot="1" x14ac:dyDescent="0.4">
      <c r="A26" s="77"/>
      <c r="B26" s="31" t="s">
        <v>45</v>
      </c>
      <c r="C26" s="34">
        <v>569.4</v>
      </c>
      <c r="D26" s="34">
        <v>853.21600000000001</v>
      </c>
      <c r="E26" s="21">
        <f t="shared" si="0"/>
        <v>0.66735738664066302</v>
      </c>
      <c r="F26" s="21">
        <f t="shared" si="101"/>
        <v>0.79851425820023492</v>
      </c>
      <c r="G26" s="55">
        <v>0.67</v>
      </c>
      <c r="H26" s="23" t="s">
        <v>187</v>
      </c>
      <c r="I26" s="23" t="s">
        <v>185</v>
      </c>
      <c r="J26" s="56">
        <f>'Efficiency Assumptions'!G74</f>
        <v>1.9754123693494317</v>
      </c>
      <c r="K26" s="84"/>
      <c r="L26" s="58">
        <f t="shared" si="100"/>
        <v>0.80042651725477287</v>
      </c>
      <c r="M26" s="47">
        <f t="shared" si="76"/>
        <v>2043</v>
      </c>
      <c r="N26" s="21">
        <f t="shared" si="77"/>
        <v>0.75081181410125519</v>
      </c>
      <c r="O26" s="18">
        <f>LIT_FEC!B206*D$5/SUM(D$5:D$8)</f>
        <v>373.45025913553206</v>
      </c>
      <c r="P26" s="18">
        <f t="shared" si="1"/>
        <v>69.913926874901946</v>
      </c>
      <c r="Q26" s="18">
        <f t="shared" si="2"/>
        <v>178.50395278772686</v>
      </c>
      <c r="R26" s="21">
        <f t="shared" si="3"/>
        <v>0.39166598712826328</v>
      </c>
      <c r="S26" s="21">
        <f t="shared" si="78"/>
        <v>0.63715653590545063</v>
      </c>
      <c r="T26" s="18">
        <f>LIT_FEC!B206*D$6/SUM(D$5:D$8)</f>
        <v>25773.731261296962</v>
      </c>
      <c r="U26" s="18">
        <f t="shared" si="4"/>
        <v>6604.4244230066333</v>
      </c>
      <c r="V26" s="18">
        <f t="shared" si="5"/>
        <v>16007.338126868795</v>
      </c>
      <c r="W26" s="21">
        <f t="shared" si="6"/>
        <v>0.41258730031577889</v>
      </c>
      <c r="X26" s="21">
        <f t="shared" si="79"/>
        <v>0</v>
      </c>
      <c r="Y26" s="18">
        <f>LIT_FEC!$B206*$D$7/SUM($D$5:$D$8)</f>
        <v>6.6445679696790751</v>
      </c>
      <c r="Z26" s="18">
        <f t="shared" si="7"/>
        <v>0</v>
      </c>
      <c r="AA26" s="18">
        <f t="shared" si="8"/>
        <v>6.6445679696790751</v>
      </c>
      <c r="AB26" s="21">
        <f t="shared" si="9"/>
        <v>0</v>
      </c>
      <c r="AC26" s="21">
        <f t="shared" si="80"/>
        <v>0</v>
      </c>
      <c r="AD26" s="18">
        <f>LIT_FEC!$B206*$D$8/SUM($D$5:$D$8)</f>
        <v>31.22226608222886</v>
      </c>
      <c r="AE26" s="18">
        <f t="shared" si="10"/>
        <v>0</v>
      </c>
      <c r="AF26" s="18">
        <f t="shared" si="11"/>
        <v>31.22226608222886</v>
      </c>
      <c r="AG26" s="21">
        <f t="shared" si="12"/>
        <v>0</v>
      </c>
      <c r="AH26" s="21">
        <f t="shared" si="13"/>
        <v>0.41139411372463469</v>
      </c>
      <c r="AI26" s="18">
        <f t="shared" si="14"/>
        <v>9961.3394407759733</v>
      </c>
      <c r="AJ26" s="21">
        <f t="shared" si="15"/>
        <v>0.3804208915684516</v>
      </c>
      <c r="AL26" s="21">
        <f t="shared" si="81"/>
        <v>0.63677190086445323</v>
      </c>
      <c r="AM26" s="18">
        <f>LIT_FEC!$B153*$D$9/SUM($D$9:$D$13)</f>
        <v>16483.976972186916</v>
      </c>
      <c r="AN26" s="18">
        <f t="shared" si="16"/>
        <v>4395.5208699839513</v>
      </c>
      <c r="AO26" s="18">
        <f t="shared" si="17"/>
        <v>10663.764993772445</v>
      </c>
      <c r="AP26" s="21">
        <f t="shared" si="18"/>
        <v>0.41219221096403574</v>
      </c>
      <c r="AQ26" s="21">
        <f t="shared" si="82"/>
        <v>1</v>
      </c>
      <c r="AR26" s="18">
        <f>LIT_FEC!$B153*$D$10/SUM($D$9:$D$13)</f>
        <v>34.446914208819301</v>
      </c>
      <c r="AS26" s="18">
        <f t="shared" si="19"/>
        <v>34.446914208819301</v>
      </c>
      <c r="AT26" s="18">
        <f t="shared" si="20"/>
        <v>34.446914208819301</v>
      </c>
      <c r="AU26" s="21">
        <f t="shared" si="21"/>
        <v>1</v>
      </c>
      <c r="AV26" s="18">
        <f t="shared" si="83"/>
        <v>0.69803634190282082</v>
      </c>
      <c r="AW26" s="18">
        <f>LIT_FEC!$B153*$D$11/SUM($D$9:$D$13)</f>
        <v>2977.8853457288078</v>
      </c>
      <c r="AX26" s="65">
        <f t="shared" si="22"/>
        <v>1070.5834710952204</v>
      </c>
      <c r="AY26" s="18">
        <f t="shared" si="23"/>
        <v>2228.3931789287935</v>
      </c>
      <c r="AZ26" s="21">
        <f t="shared" si="24"/>
        <v>0.48042844558062164</v>
      </c>
      <c r="BA26" s="18">
        <f t="shared" si="84"/>
        <v>0.84680840089330545</v>
      </c>
      <c r="BB26" s="18">
        <f>LIT_FEC!$B153*$D$12/SUM($D$9:$D$13)</f>
        <v>1572.798787906084</v>
      </c>
      <c r="BC26" s="18">
        <f t="shared" si="25"/>
        <v>1331.8592265136801</v>
      </c>
      <c r="BD26" s="18">
        <f t="shared" si="26"/>
        <v>1572.798787906084</v>
      </c>
      <c r="BE26" s="21">
        <f t="shared" si="27"/>
        <v>0.84680840089330545</v>
      </c>
      <c r="BF26" s="18">
        <f t="shared" si="85"/>
        <v>1</v>
      </c>
      <c r="BG26" s="18">
        <f>LIT_FEC!$B153*$D$13/SUM($D$9:$D$13)</f>
        <v>4700.3808428933771</v>
      </c>
      <c r="BH26" s="18">
        <f t="shared" si="28"/>
        <v>4700.3808428933771</v>
      </c>
      <c r="BI26" s="18">
        <f t="shared" si="29"/>
        <v>4700.3808428933771</v>
      </c>
      <c r="BJ26" s="21">
        <f t="shared" si="30"/>
        <v>1</v>
      </c>
      <c r="BK26" s="21">
        <f t="shared" si="31"/>
        <v>0.60067294994497622</v>
      </c>
      <c r="BL26" s="18">
        <f t="shared" si="32"/>
        <v>6569.7041452144877</v>
      </c>
      <c r="BM26" s="21">
        <f t="shared" si="33"/>
        <v>0.25494118956572265</v>
      </c>
      <c r="BO26" s="21">
        <f t="shared" si="86"/>
        <v>1</v>
      </c>
      <c r="BP26" s="18">
        <f>LIT_FEC!$B100*$D$14/SUM($D$14:$D$26)</f>
        <v>17.271369011965913</v>
      </c>
      <c r="BQ26" s="18">
        <f t="shared" si="34"/>
        <v>17.271369011965916</v>
      </c>
      <c r="BR26" s="18">
        <f t="shared" si="35"/>
        <v>17.271369011965916</v>
      </c>
      <c r="BS26" s="21">
        <f t="shared" si="36"/>
        <v>1</v>
      </c>
      <c r="BT26" s="21">
        <f t="shared" si="87"/>
        <v>0.64004394663552744</v>
      </c>
      <c r="BU26" s="18">
        <f>LIT_FEC!$B100*$D$15/SUM($D$14:$D$26)</f>
        <v>2594.3856141569881</v>
      </c>
      <c r="BV26" s="18">
        <f t="shared" si="37"/>
        <v>1152.8810990272038</v>
      </c>
      <c r="BW26" s="18">
        <f t="shared" si="38"/>
        <v>2198.4943634692472</v>
      </c>
      <c r="BX26" s="21">
        <f t="shared" si="39"/>
        <v>0.52439574928358945</v>
      </c>
      <c r="BY26" s="21">
        <f t="shared" si="88"/>
        <v>0.76406326890168941</v>
      </c>
      <c r="BZ26" s="18">
        <f>LIT_FEC!$B100*$D$16/SUM($D$14:$D$26)</f>
        <v>0</v>
      </c>
      <c r="CA26" s="18">
        <f t="shared" si="40"/>
        <v>0</v>
      </c>
      <c r="CB26" s="18">
        <f t="shared" si="41"/>
        <v>0</v>
      </c>
      <c r="CC26" s="21">
        <f t="shared" si="42"/>
        <v>0</v>
      </c>
      <c r="CD26" s="21">
        <f t="shared" si="89"/>
        <v>0.3855749301448671</v>
      </c>
      <c r="CE26" s="18">
        <f>LIT_FEC!$B100*$D$17/SUM($D$14:D$26)</f>
        <v>1539.1960503674268</v>
      </c>
      <c r="CF26" s="18">
        <f t="shared" si="43"/>
        <v>418.78703060704942</v>
      </c>
      <c r="CG26" s="18">
        <f t="shared" si="44"/>
        <v>1440.5479320930449</v>
      </c>
      <c r="CH26" s="21">
        <f t="shared" si="45"/>
        <v>0.2907137078032333</v>
      </c>
      <c r="CI26" s="21">
        <f t="shared" si="90"/>
        <v>0.87249507902633816</v>
      </c>
      <c r="CJ26" s="18">
        <f>LIT_FEC!$B100*$D$18/SUM($D$14:D$26)</f>
        <v>72.594743264026263</v>
      </c>
      <c r="CK26" s="18">
        <f t="shared" si="46"/>
        <v>56.247419023488057</v>
      </c>
      <c r="CL26" s="18">
        <f t="shared" si="47"/>
        <v>71.213049057194112</v>
      </c>
      <c r="CM26" s="21">
        <f t="shared" si="48"/>
        <v>0.78984708235583978</v>
      </c>
      <c r="CN26" s="21">
        <f t="shared" si="91"/>
        <v>0.91763923257625479</v>
      </c>
      <c r="CO26" s="18">
        <f>LIT_FEC!$B100*$D$19/SUM($D$14:D$26)</f>
        <v>330.10226251153654</v>
      </c>
      <c r="CP26" s="18">
        <f t="shared" si="49"/>
        <v>258.19387003371611</v>
      </c>
      <c r="CQ26" s="18">
        <f t="shared" si="50"/>
        <v>301.028690920999</v>
      </c>
      <c r="CR26" s="21">
        <f t="shared" si="51"/>
        <v>0.85770518831201936</v>
      </c>
      <c r="CS26" s="18">
        <f t="shared" si="92"/>
        <v>0.85578693557173313</v>
      </c>
      <c r="CT26" s="18">
        <f>LIT_FEC!$B100*$D$20/SUM($D$14:D$26)</f>
        <v>121.75369954136804</v>
      </c>
      <c r="CU26" s="18">
        <f t="shared" si="52"/>
        <v>56.275299982616474</v>
      </c>
      <c r="CV26" s="18">
        <f t="shared" si="53"/>
        <v>82.863825192335867</v>
      </c>
      <c r="CW26" s="21">
        <f t="shared" si="54"/>
        <v>0.67912988390284224</v>
      </c>
      <c r="CX26" s="21">
        <f t="shared" si="93"/>
        <v>0.78891161110304231</v>
      </c>
      <c r="CY26" s="18">
        <f>LIT_FEC!$B100*$D$21/SUM($D$14:D$26)</f>
        <v>2062.0132794409874</v>
      </c>
      <c r="CZ26" s="18">
        <f t="shared" si="55"/>
        <v>981.98319792909683</v>
      </c>
      <c r="DA26" s="18">
        <f t="shared" si="56"/>
        <v>1638.8541586851213</v>
      </c>
      <c r="DB26" s="21">
        <f t="shared" si="57"/>
        <v>0.59918888616480526</v>
      </c>
      <c r="DC26" s="21">
        <f t="shared" si="94"/>
        <v>0.86414758216425114</v>
      </c>
      <c r="DD26" s="18">
        <f>LIT_FEC!$B100*$D$22/SUM($D$14:D$26)</f>
        <v>501.00804415352513</v>
      </c>
      <c r="DE26" s="18">
        <f t="shared" si="58"/>
        <v>269.18810635654847</v>
      </c>
      <c r="DF26" s="18">
        <f t="shared" si="59"/>
        <v>374.98558775890018</v>
      </c>
      <c r="DG26" s="21">
        <f t="shared" si="60"/>
        <v>0.7178625396387901</v>
      </c>
      <c r="DH26" s="21">
        <f t="shared" si="95"/>
        <v>0.55521044041383893</v>
      </c>
      <c r="DI26" s="18">
        <f>LIT_FEC!$B100*$D$23/SUM($D$14:D$26)</f>
        <v>1087.1355815570673</v>
      </c>
      <c r="DJ26" s="45">
        <f t="shared" si="61"/>
        <v>352.61359577999787</v>
      </c>
      <c r="DK26" s="18">
        <f t="shared" si="62"/>
        <v>1058.8271076070378</v>
      </c>
      <c r="DL26" s="21">
        <f t="shared" si="63"/>
        <v>0.33302282615044576</v>
      </c>
      <c r="DM26" s="21">
        <f t="shared" si="96"/>
        <v>0.61072642216473805</v>
      </c>
      <c r="DN26" s="18">
        <f>LIT_FEC!$B100*$D$24/SUM($D$14:D$26)</f>
        <v>418.04102748932769</v>
      </c>
      <c r="DO26" s="18">
        <f t="shared" si="64"/>
        <v>137.92017365902893</v>
      </c>
      <c r="DP26" s="18">
        <f t="shared" si="65"/>
        <v>384.39552228854495</v>
      </c>
      <c r="DQ26" s="21">
        <f t="shared" si="66"/>
        <v>0.3587975552834346</v>
      </c>
      <c r="DR26" s="21">
        <f t="shared" si="97"/>
        <v>0.89193322204630643</v>
      </c>
      <c r="DS26" s="18">
        <f>LIT_FEC!$B100*$D$25/SUM($D$14:D$26)</f>
        <v>291.32331308317725</v>
      </c>
      <c r="DT26" s="18">
        <f t="shared" si="67"/>
        <v>184.82363873101878</v>
      </c>
      <c r="DU26" s="18">
        <f t="shared" si="68"/>
        <v>240.8067959720822</v>
      </c>
      <c r="DV26" s="21">
        <f t="shared" si="69"/>
        <v>0.76751836668449425</v>
      </c>
      <c r="DW26" s="21">
        <f t="shared" si="98"/>
        <v>0.80003283977223538</v>
      </c>
      <c r="DX26" s="18">
        <f>LIT_FEC!$B100*$D$26/SUM($D$14:D$26)</f>
        <v>733.14469566733862</v>
      </c>
      <c r="DY26" s="18">
        <f t="shared" si="70"/>
        <v>490.20000079413228</v>
      </c>
      <c r="DZ26" s="18">
        <f t="shared" si="71"/>
        <v>732.23710112142169</v>
      </c>
      <c r="EA26" s="21">
        <f t="shared" si="72"/>
        <v>0.6694552898827314</v>
      </c>
      <c r="EB26" s="21">
        <f t="shared" si="73"/>
        <v>0.51236571257764418</v>
      </c>
      <c r="EC26" s="18">
        <f t="shared" si="74"/>
        <v>1226.4441770668418</v>
      </c>
      <c r="ED26" s="21">
        <f t="shared" si="75"/>
        <v>0.12555773791428407</v>
      </c>
    </row>
    <row r="27" spans="1:134" ht="15" thickBot="1" x14ac:dyDescent="0.4">
      <c r="M27" s="47">
        <f t="shared" si="76"/>
        <v>2044</v>
      </c>
      <c r="N27" s="21">
        <f t="shared" si="77"/>
        <v>0.78324909646239593</v>
      </c>
      <c r="O27" s="18">
        <f>LIT_FEC!B207*D$5/SUM(D$5:D$8)</f>
        <v>373.0662257062333</v>
      </c>
      <c r="P27" s="18">
        <f t="shared" si="1"/>
        <v>72.859413195981247</v>
      </c>
      <c r="Q27" s="18">
        <f t="shared" si="2"/>
        <v>167.21694522906563</v>
      </c>
      <c r="R27" s="21">
        <f t="shared" si="3"/>
        <v>0.43571788191784783</v>
      </c>
      <c r="S27" s="21">
        <f t="shared" si="78"/>
        <v>0.67256282088492114</v>
      </c>
      <c r="T27" s="18">
        <f>LIT_FEC!B207*D$6/SUM(D$5:D$8)</f>
        <v>25747.227130800402</v>
      </c>
      <c r="U27" s="18">
        <f t="shared" si="4"/>
        <v>6964.2580772394513</v>
      </c>
      <c r="V27" s="18">
        <f t="shared" si="5"/>
        <v>15440.909106852661</v>
      </c>
      <c r="W27" s="21">
        <f t="shared" si="6"/>
        <v>0.45102642785124097</v>
      </c>
      <c r="X27" s="21">
        <f t="shared" si="79"/>
        <v>0</v>
      </c>
      <c r="Y27" s="18">
        <f>LIT_FEC!$B207*$D$7/SUM($D$5:$D$8)</f>
        <v>6.6377351019512236</v>
      </c>
      <c r="Z27" s="18">
        <f t="shared" si="7"/>
        <v>0</v>
      </c>
      <c r="AA27" s="18">
        <f t="shared" si="8"/>
        <v>6.6377351019512236</v>
      </c>
      <c r="AB27" s="21">
        <f t="shared" si="9"/>
        <v>0</v>
      </c>
      <c r="AC27" s="21">
        <f t="shared" si="80"/>
        <v>0</v>
      </c>
      <c r="AD27" s="18">
        <f>LIT_FEC!$B207*$D$8/SUM($D$5:$D$8)</f>
        <v>31.190159011418963</v>
      </c>
      <c r="AE27" s="18">
        <f t="shared" si="10"/>
        <v>0</v>
      </c>
      <c r="AF27" s="18">
        <f t="shared" si="11"/>
        <v>31.190159011418963</v>
      </c>
      <c r="AG27" s="21">
        <f t="shared" si="12"/>
        <v>0</v>
      </c>
      <c r="AH27" s="21">
        <f t="shared" si="13"/>
        <v>0.44977235102668656</v>
      </c>
      <c r="AI27" s="18">
        <f t="shared" si="14"/>
        <v>10512.167304424906</v>
      </c>
      <c r="AJ27" s="21">
        <f t="shared" si="15"/>
        <v>0.40187011917668763</v>
      </c>
      <c r="AL27" s="21">
        <f t="shared" si="81"/>
        <v>0.66845543109705652</v>
      </c>
      <c r="AM27" s="18">
        <f>LIT_FEC!$B154*$D$9/SUM($D$9:$D$13)</f>
        <v>16503.695503097169</v>
      </c>
      <c r="AN27" s="18">
        <f t="shared" si="16"/>
        <v>4619.7461783236222</v>
      </c>
      <c r="AO27" s="18">
        <f t="shared" si="17"/>
        <v>10348.070326350993</v>
      </c>
      <c r="AP27" s="21">
        <f t="shared" si="18"/>
        <v>0.44643552204700454</v>
      </c>
      <c r="AQ27" s="21">
        <f t="shared" si="82"/>
        <v>1</v>
      </c>
      <c r="AR27" s="18">
        <f>LIT_FEC!$B154*$D$10/SUM($D$9:$D$13)</f>
        <v>34.488120438586279</v>
      </c>
      <c r="AS27" s="18">
        <f t="shared" si="19"/>
        <v>34.488120438586279</v>
      </c>
      <c r="AT27" s="18">
        <f t="shared" si="20"/>
        <v>34.488120438586279</v>
      </c>
      <c r="AU27" s="21">
        <f t="shared" si="21"/>
        <v>1</v>
      </c>
      <c r="AV27" s="18">
        <f t="shared" si="83"/>
        <v>0.71639943418863017</v>
      </c>
      <c r="AW27" s="18">
        <f>LIT_FEC!$B154*$D$11/SUM($D$9:$D$13)</f>
        <v>2981.4475640172723</v>
      </c>
      <c r="AX27" s="65">
        <f t="shared" si="22"/>
        <v>1100.0614285443276</v>
      </c>
      <c r="AY27" s="18">
        <f t="shared" si="23"/>
        <v>2188.7628870950693</v>
      </c>
      <c r="AZ27" s="21">
        <f t="shared" si="24"/>
        <v>0.50259506638671647</v>
      </c>
      <c r="BA27" s="18">
        <f t="shared" si="84"/>
        <v>0.88011612647253534</v>
      </c>
      <c r="BB27" s="18">
        <f>LIT_FEC!$B154*$D$12/SUM($D$9:$D$13)</f>
        <v>1574.6802077580569</v>
      </c>
      <c r="BC27" s="18">
        <f t="shared" si="25"/>
        <v>1385.9014448849882</v>
      </c>
      <c r="BD27" s="18">
        <f t="shared" si="26"/>
        <v>1574.6802077580569</v>
      </c>
      <c r="BE27" s="21">
        <f t="shared" si="27"/>
        <v>0.88011612647253534</v>
      </c>
      <c r="BF27" s="18">
        <f t="shared" si="85"/>
        <v>1</v>
      </c>
      <c r="BG27" s="18">
        <f>LIT_FEC!$B154*$D$13/SUM($D$9:$D$13)</f>
        <v>4706.003551848682</v>
      </c>
      <c r="BH27" s="18">
        <f t="shared" si="28"/>
        <v>4706.003551848682</v>
      </c>
      <c r="BI27" s="18">
        <f t="shared" si="29"/>
        <v>4706.003551848682</v>
      </c>
      <c r="BJ27" s="21">
        <f t="shared" si="30"/>
        <v>1</v>
      </c>
      <c r="BK27" s="21">
        <f t="shared" si="31"/>
        <v>0.62837882046457105</v>
      </c>
      <c r="BL27" s="18">
        <f t="shared" si="32"/>
        <v>6948.3098536683756</v>
      </c>
      <c r="BM27" s="21">
        <f t="shared" si="33"/>
        <v>0.2693110478650681</v>
      </c>
      <c r="BO27" s="21">
        <f t="shared" si="86"/>
        <v>1</v>
      </c>
      <c r="BP27" s="18">
        <f>LIT_FEC!$B101*$D$14/SUM($D$14:$D$26)</f>
        <v>17.222812268342381</v>
      </c>
      <c r="BQ27" s="18">
        <f t="shared" si="34"/>
        <v>17.222812268342384</v>
      </c>
      <c r="BR27" s="18">
        <f t="shared" si="35"/>
        <v>17.222812268342384</v>
      </c>
      <c r="BS27" s="21">
        <f t="shared" si="36"/>
        <v>1</v>
      </c>
      <c r="BT27" s="21">
        <f t="shared" si="87"/>
        <v>0.66026405288383594</v>
      </c>
      <c r="BU27" s="18">
        <f>LIT_FEC!$B101*$D$15/SUM($D$14:$D$26)</f>
        <v>2587.0917559202776</v>
      </c>
      <c r="BV27" s="18">
        <f t="shared" si="37"/>
        <v>1185.9590201392987</v>
      </c>
      <c r="BW27" s="18">
        <f t="shared" si="38"/>
        <v>2170.0616867041804</v>
      </c>
      <c r="BX27" s="21">
        <f t="shared" si="39"/>
        <v>0.54650935842312154</v>
      </c>
      <c r="BY27" s="21">
        <f t="shared" si="88"/>
        <v>0.80712998920904755</v>
      </c>
      <c r="BZ27" s="18">
        <f>LIT_FEC!$B101*$D$16/SUM($D$14:$D$26)</f>
        <v>0</v>
      </c>
      <c r="CA27" s="18">
        <f t="shared" si="40"/>
        <v>0</v>
      </c>
      <c r="CB27" s="18">
        <f t="shared" si="41"/>
        <v>0</v>
      </c>
      <c r="CC27" s="21">
        <f t="shared" si="42"/>
        <v>0</v>
      </c>
      <c r="CD27" s="21">
        <f t="shared" si="89"/>
        <v>0.39521460908235928</v>
      </c>
      <c r="CE27" s="18">
        <f>LIT_FEC!$B101*$D$17/SUM($D$14:D$26)</f>
        <v>1534.8687530957247</v>
      </c>
      <c r="CF27" s="18">
        <f t="shared" si="43"/>
        <v>428.05022473180838</v>
      </c>
      <c r="CG27" s="18">
        <f t="shared" si="44"/>
        <v>1430.9532674149063</v>
      </c>
      <c r="CH27" s="21">
        <f t="shared" si="45"/>
        <v>0.29913641100600302</v>
      </c>
      <c r="CI27" s="21">
        <f t="shared" si="90"/>
        <v>0.87396712859720249</v>
      </c>
      <c r="CJ27" s="18">
        <f>LIT_FEC!$B101*$D$18/SUM($D$14:D$26)</f>
        <v>72.390650332270525</v>
      </c>
      <c r="CK27" s="18">
        <f t="shared" si="46"/>
        <v>56.183917265601316</v>
      </c>
      <c r="CL27" s="18">
        <f t="shared" si="47"/>
        <v>70.935179847106482</v>
      </c>
      <c r="CM27" s="21">
        <f t="shared" si="48"/>
        <v>0.79204588452020563</v>
      </c>
      <c r="CN27" s="21">
        <f t="shared" si="91"/>
        <v>0.92450393550443621</v>
      </c>
      <c r="CO27" s="18">
        <f>LIT_FEC!$B101*$D$19/SUM($D$14:D$26)</f>
        <v>329.1742126899378</v>
      </c>
      <c r="CP27" s="18">
        <f t="shared" si="49"/>
        <v>259.39405770361225</v>
      </c>
      <c r="CQ27" s="18">
        <f t="shared" si="50"/>
        <v>298.54824267494433</v>
      </c>
      <c r="CR27" s="21">
        <f t="shared" si="51"/>
        <v>0.86885139694504021</v>
      </c>
      <c r="CS27" s="18">
        <f t="shared" si="92"/>
        <v>0.87426784420072456</v>
      </c>
      <c r="CT27" s="18">
        <f>LIT_FEC!$B101*$D$20/SUM($D$14:D$26)</f>
        <v>121.41140107216442</v>
      </c>
      <c r="CU27" s="18">
        <f t="shared" si="52"/>
        <v>57.328948498145266</v>
      </c>
      <c r="CV27" s="18">
        <f t="shared" si="53"/>
        <v>80.444981724912012</v>
      </c>
      <c r="CW27" s="21">
        <f t="shared" si="54"/>
        <v>0.71264791499594282</v>
      </c>
      <c r="CX27" s="21">
        <f t="shared" si="93"/>
        <v>0.80168626715117253</v>
      </c>
      <c r="CY27" s="18">
        <f>LIT_FEC!$B101*$D$21/SUM($D$14:D$26)</f>
        <v>2056.2161333034251</v>
      </c>
      <c r="CZ27" s="18">
        <f t="shared" si="55"/>
        <v>995.07876311046471</v>
      </c>
      <c r="DA27" s="18">
        <f t="shared" si="56"/>
        <v>1610.4622119634646</v>
      </c>
      <c r="DB27" s="21">
        <f t="shared" si="57"/>
        <v>0.61788395636881877</v>
      </c>
      <c r="DC27" s="21">
        <f t="shared" si="94"/>
        <v>0.87934959906121757</v>
      </c>
      <c r="DD27" s="18">
        <f>LIT_FEC!$B101*$D$22/SUM($D$14:D$26)</f>
        <v>499.59950965134203</v>
      </c>
      <c r="DE27" s="18">
        <f t="shared" si="58"/>
        <v>273.15353334300363</v>
      </c>
      <c r="DF27" s="18">
        <f t="shared" si="59"/>
        <v>366.84801887771573</v>
      </c>
      <c r="DG27" s="21">
        <f t="shared" si="60"/>
        <v>0.74459590698799982</v>
      </c>
      <c r="DH27" s="21">
        <f t="shared" si="95"/>
        <v>0.55688536881749706</v>
      </c>
      <c r="DI27" s="18">
        <f>LIT_FEC!$B101*$D$23/SUM($D$14:D$26)</f>
        <v>1084.079207526664</v>
      </c>
      <c r="DJ27" s="45">
        <f t="shared" si="61"/>
        <v>352.68301231453847</v>
      </c>
      <c r="DK27" s="18">
        <f t="shared" si="62"/>
        <v>1054.259187937258</v>
      </c>
      <c r="DL27" s="21">
        <f t="shared" si="63"/>
        <v>0.33453159939216737</v>
      </c>
      <c r="DM27" s="21">
        <f t="shared" si="96"/>
        <v>0.61538212137673232</v>
      </c>
      <c r="DN27" s="18">
        <f>LIT_FEC!$B101*$D$24/SUM($D$14:D$26)</f>
        <v>416.86574653841677</v>
      </c>
      <c r="DO27" s="18">
        <f t="shared" si="64"/>
        <v>138.58086407986013</v>
      </c>
      <c r="DP27" s="18">
        <f t="shared" si="65"/>
        <v>381.42372214833983</v>
      </c>
      <c r="DQ27" s="21">
        <f t="shared" si="66"/>
        <v>0.36332523656188465</v>
      </c>
      <c r="DR27" s="21">
        <f t="shared" si="97"/>
        <v>0.90109393854800623</v>
      </c>
      <c r="DS27" s="18">
        <f>LIT_FEC!$B101*$D$25/SUM($D$14:D$26)</f>
        <v>290.50428643768453</v>
      </c>
      <c r="DT27" s="18">
        <f t="shared" si="67"/>
        <v>186.19694390689199</v>
      </c>
      <c r="DU27" s="18">
        <f t="shared" si="68"/>
        <v>237.29041371178118</v>
      </c>
      <c r="DV27" s="21">
        <f t="shared" si="69"/>
        <v>0.78467958732227339</v>
      </c>
      <c r="DW27" s="21">
        <f t="shared" si="98"/>
        <v>0.80011843520717796</v>
      </c>
      <c r="DX27" s="18">
        <f>LIT_FEC!$B101*$D$26/SUM($D$14:D$26)</f>
        <v>731.08353195751295</v>
      </c>
      <c r="DY27" s="18">
        <f t="shared" si="70"/>
        <v>488.87415103748623</v>
      </c>
      <c r="DZ27" s="18">
        <f t="shared" si="71"/>
        <v>730.12747593039342</v>
      </c>
      <c r="EA27" s="21">
        <f t="shared" si="72"/>
        <v>0.66957369384643317</v>
      </c>
      <c r="EB27" s="21">
        <f t="shared" si="73"/>
        <v>0.52537914286524368</v>
      </c>
      <c r="EC27" s="18">
        <f t="shared" si="74"/>
        <v>1291.9307995904164</v>
      </c>
      <c r="ED27" s="21">
        <f t="shared" si="75"/>
        <v>0.13263484815013099</v>
      </c>
    </row>
    <row r="28" spans="1:134" ht="16" thickBot="1" x14ac:dyDescent="0.4">
      <c r="A28" s="33" t="s">
        <v>210</v>
      </c>
      <c r="J28" s="7"/>
      <c r="M28" s="47">
        <f t="shared" si="76"/>
        <v>2045</v>
      </c>
      <c r="N28" s="21">
        <f t="shared" si="77"/>
        <v>0.80973985526414771</v>
      </c>
      <c r="O28" s="18">
        <f>LIT_FEC!B208*D$5/SUM(D$5:D$8)</f>
        <v>372.67866985138602</v>
      </c>
      <c r="P28" s="18">
        <f t="shared" si="1"/>
        <v>75.245387939709985</v>
      </c>
      <c r="Q28" s="18">
        <f t="shared" si="2"/>
        <v>157.98473374891785</v>
      </c>
      <c r="R28" s="21">
        <f t="shared" si="3"/>
        <v>0.47628265183708229</v>
      </c>
      <c r="S28" s="21">
        <f t="shared" si="78"/>
        <v>0.70147829367375358</v>
      </c>
      <c r="T28" s="18">
        <f>LIT_FEC!B208*D$6/SUM(D$5:D$8)</f>
        <v>25720.479899523343</v>
      </c>
      <c r="U28" s="18">
        <f t="shared" si="4"/>
        <v>7256.126423642756</v>
      </c>
      <c r="V28" s="18">
        <f t="shared" si="5"/>
        <v>14976.189216586477</v>
      </c>
      <c r="W28" s="21">
        <f t="shared" si="6"/>
        <v>0.48451086713076696</v>
      </c>
      <c r="X28" s="21">
        <f t="shared" si="79"/>
        <v>0</v>
      </c>
      <c r="Y28" s="18">
        <f>LIT_FEC!$B208*$D$7/SUM($D$5:$D$8)</f>
        <v>6.6308395618984717</v>
      </c>
      <c r="Z28" s="18">
        <f t="shared" si="7"/>
        <v>0</v>
      </c>
      <c r="AA28" s="18">
        <f t="shared" si="8"/>
        <v>6.6308395618984717</v>
      </c>
      <c r="AB28" s="21">
        <f t="shared" si="9"/>
        <v>0</v>
      </c>
      <c r="AC28" s="21">
        <f t="shared" si="80"/>
        <v>0</v>
      </c>
      <c r="AD28" s="18">
        <f>LIT_FEC!$B208*$D$8/SUM($D$5:$D$8)</f>
        <v>31.157757448625095</v>
      </c>
      <c r="AE28" s="18">
        <f t="shared" si="10"/>
        <v>0</v>
      </c>
      <c r="AF28" s="18">
        <f t="shared" si="11"/>
        <v>31.157757448625095</v>
      </c>
      <c r="AG28" s="21">
        <f t="shared" si="12"/>
        <v>0</v>
      </c>
      <c r="AH28" s="21">
        <f t="shared" si="13"/>
        <v>0.48321842271255588</v>
      </c>
      <c r="AI28" s="18">
        <f t="shared" si="14"/>
        <v>10958.984619039335</v>
      </c>
      <c r="AJ28" s="21">
        <f t="shared" si="15"/>
        <v>0.41938719439672395</v>
      </c>
      <c r="AL28" s="21">
        <f t="shared" si="81"/>
        <v>0.69433061842117694</v>
      </c>
      <c r="AM28" s="18">
        <f>LIT_FEC!$B155*$D$9/SUM($D$9:$D$13)</f>
        <v>16523.263940594439</v>
      </c>
      <c r="AN28" s="18">
        <f t="shared" si="16"/>
        <v>4804.2612281987258</v>
      </c>
      <c r="AO28" s="18">
        <f t="shared" si="17"/>
        <v>10091.783914098156</v>
      </c>
      <c r="AP28" s="21">
        <f t="shared" si="18"/>
        <v>0.47605668820229141</v>
      </c>
      <c r="AQ28" s="21">
        <f t="shared" si="82"/>
        <v>1</v>
      </c>
      <c r="AR28" s="18">
        <f>LIT_FEC!$B155*$D$10/SUM($D$9:$D$13)</f>
        <v>34.529013014983732</v>
      </c>
      <c r="AS28" s="18">
        <f t="shared" si="19"/>
        <v>34.529013014983732</v>
      </c>
      <c r="AT28" s="18">
        <f t="shared" si="20"/>
        <v>34.529013014983732</v>
      </c>
      <c r="AU28" s="21">
        <f t="shared" si="21"/>
        <v>1</v>
      </c>
      <c r="AV28" s="18">
        <f t="shared" si="83"/>
        <v>0.7313961359215857</v>
      </c>
      <c r="AW28" s="18">
        <f>LIT_FEC!$B155*$D$11/SUM($D$9:$D$13)</f>
        <v>2984.9826674307419</v>
      </c>
      <c r="AX28" s="65">
        <f t="shared" si="22"/>
        <v>1124.4211416998935</v>
      </c>
      <c r="AY28" s="18">
        <f t="shared" si="23"/>
        <v>2156.7750491056686</v>
      </c>
      <c r="AZ28" s="21">
        <f t="shared" si="24"/>
        <v>0.5213437266747627</v>
      </c>
      <c r="BA28" s="18">
        <f t="shared" si="84"/>
        <v>0.90731775559579853</v>
      </c>
      <c r="BB28" s="18">
        <f>LIT_FEC!$B155*$D$12/SUM($D$9:$D$13)</f>
        <v>1576.547306627999</v>
      </c>
      <c r="BC28" s="18">
        <f t="shared" si="25"/>
        <v>1430.4293638403171</v>
      </c>
      <c r="BD28" s="18">
        <f t="shared" si="26"/>
        <v>1576.547306627999</v>
      </c>
      <c r="BE28" s="21">
        <f t="shared" si="27"/>
        <v>0.90731775559579853</v>
      </c>
      <c r="BF28" s="18">
        <f t="shared" si="85"/>
        <v>1</v>
      </c>
      <c r="BG28" s="18">
        <f>LIT_FEC!$B155*$D$13/SUM($D$9:$D$13)</f>
        <v>4711.5834618966464</v>
      </c>
      <c r="BH28" s="18">
        <f t="shared" si="28"/>
        <v>4711.5834618966464</v>
      </c>
      <c r="BI28" s="18">
        <f t="shared" si="29"/>
        <v>4711.5834618966464</v>
      </c>
      <c r="BJ28" s="21">
        <f t="shared" si="30"/>
        <v>1</v>
      </c>
      <c r="BK28" s="21">
        <f t="shared" si="31"/>
        <v>0.65182712965873202</v>
      </c>
      <c r="BL28" s="18">
        <f t="shared" si="32"/>
        <v>7259.6876448213552</v>
      </c>
      <c r="BM28" s="21">
        <f t="shared" si="33"/>
        <v>0.28104657015652107</v>
      </c>
      <c r="BO28" s="21">
        <f t="shared" si="86"/>
        <v>1</v>
      </c>
      <c r="BP28" s="18">
        <f>LIT_FEC!$B102*$D$14/SUM($D$14:$D$26)</f>
        <v>17.174211513686167</v>
      </c>
      <c r="BQ28" s="18">
        <f t="shared" si="34"/>
        <v>17.174211513686171</v>
      </c>
      <c r="BR28" s="18">
        <f t="shared" si="35"/>
        <v>17.174211513686171</v>
      </c>
      <c r="BS28" s="21">
        <f t="shared" si="36"/>
        <v>1</v>
      </c>
      <c r="BT28" s="21">
        <f t="shared" si="87"/>
        <v>0.67677733385497629</v>
      </c>
      <c r="BU28" s="18">
        <f>LIT_FEC!$B102*$D$15/SUM($D$14:$D$26)</f>
        <v>2579.7912866505926</v>
      </c>
      <c r="BV28" s="18">
        <f t="shared" si="37"/>
        <v>1212.1896566190592</v>
      </c>
      <c r="BW28" s="18">
        <f t="shared" si="38"/>
        <v>2145.8167685453936</v>
      </c>
      <c r="BX28" s="21">
        <f t="shared" si="39"/>
        <v>0.56490827846441816</v>
      </c>
      <c r="BY28" s="21">
        <f t="shared" si="88"/>
        <v>0.84230155775609306</v>
      </c>
      <c r="BZ28" s="18">
        <f>LIT_FEC!$B102*$D$16/SUM($D$14:$D$26)</f>
        <v>0</v>
      </c>
      <c r="CA28" s="18">
        <f t="shared" si="40"/>
        <v>0</v>
      </c>
      <c r="CB28" s="18">
        <f t="shared" si="41"/>
        <v>0</v>
      </c>
      <c r="CC28" s="21">
        <f t="shared" si="42"/>
        <v>0</v>
      </c>
      <c r="CD28" s="21">
        <f t="shared" si="89"/>
        <v>0.40308710613116733</v>
      </c>
      <c r="CE28" s="18">
        <f>LIT_FEC!$B102*$D$17/SUM($D$14:D$26)</f>
        <v>1530.5375336330467</v>
      </c>
      <c r="CF28" s="18">
        <f t="shared" si="43"/>
        <v>435.34482399439349</v>
      </c>
      <c r="CG28" s="18">
        <f t="shared" si="44"/>
        <v>1422.3998328989719</v>
      </c>
      <c r="CH28" s="21">
        <f t="shared" si="45"/>
        <v>0.30606360738043936</v>
      </c>
      <c r="CI28" s="21">
        <f t="shared" si="90"/>
        <v>0.8751693165515394</v>
      </c>
      <c r="CJ28" s="18">
        <f>LIT_FEC!$B102*$D$18/SUM($D$14:D$26)</f>
        <v>72.186372414042879</v>
      </c>
      <c r="CK28" s="18">
        <f t="shared" si="46"/>
        <v>56.102438705781964</v>
      </c>
      <c r="CL28" s="18">
        <f t="shared" si="47"/>
        <v>70.671764358075322</v>
      </c>
      <c r="CM28" s="21">
        <f t="shared" si="48"/>
        <v>0.79384516879365852</v>
      </c>
      <c r="CN28" s="21">
        <f t="shared" si="91"/>
        <v>0.93011017549370201</v>
      </c>
      <c r="CO28" s="18">
        <f>LIT_FEC!$B102*$D$19/SUM($D$14:D$26)</f>
        <v>328.24532169926601</v>
      </c>
      <c r="CP28" s="18">
        <f t="shared" si="49"/>
        <v>260.23061842589505</v>
      </c>
      <c r="CQ28" s="18">
        <f t="shared" si="50"/>
        <v>296.37498054198613</v>
      </c>
      <c r="CR28" s="21">
        <f t="shared" si="51"/>
        <v>0.87804516410260658</v>
      </c>
      <c r="CS28" s="18">
        <f t="shared" si="92"/>
        <v>0.88936076374549877</v>
      </c>
      <c r="CT28" s="18">
        <f>LIT_FEC!$B102*$D$20/SUM($D$14:D$26)</f>
        <v>121.06879234926603</v>
      </c>
      <c r="CU28" s="18">
        <f t="shared" si="52"/>
        <v>58.1540782033019</v>
      </c>
      <c r="CV28" s="18">
        <f t="shared" si="53"/>
        <v>78.437856579723416</v>
      </c>
      <c r="CW28" s="21">
        <f t="shared" si="54"/>
        <v>0.74140320425756034</v>
      </c>
      <c r="CX28" s="21">
        <f t="shared" si="93"/>
        <v>0.81211902561652916</v>
      </c>
      <c r="CY28" s="18">
        <f>LIT_FEC!$B102*$D$21/SUM($D$14:D$26)</f>
        <v>2050.4137327280837</v>
      </c>
      <c r="CZ28" s="18">
        <f t="shared" si="55"/>
        <v>1005.1837008853403</v>
      </c>
      <c r="DA28" s="18">
        <f t="shared" si="56"/>
        <v>1586.5482767655499</v>
      </c>
      <c r="DB28" s="21">
        <f t="shared" si="57"/>
        <v>0.63356641307794259</v>
      </c>
      <c r="DC28" s="21">
        <f t="shared" si="94"/>
        <v>0.89176472553309916</v>
      </c>
      <c r="DD28" s="18">
        <f>LIT_FEC!$B102*$D$22/SUM($D$14:D$26)</f>
        <v>498.18969847668507</v>
      </c>
      <c r="DE28" s="18">
        <f t="shared" si="58"/>
        <v>276.22837068450679</v>
      </c>
      <c r="DF28" s="18">
        <f t="shared" si="59"/>
        <v>360.0443500021164</v>
      </c>
      <c r="DG28" s="21">
        <f t="shared" si="60"/>
        <v>0.76720651409439722</v>
      </c>
      <c r="DH28" s="21">
        <f t="shared" si="95"/>
        <v>0.5582532431004753</v>
      </c>
      <c r="DI28" s="18">
        <f>LIT_FEC!$B102*$D$23/SUM($D$14:D$26)</f>
        <v>1081.0200632491787</v>
      </c>
      <c r="DJ28" s="45">
        <f t="shared" si="61"/>
        <v>352.55163089878442</v>
      </c>
      <c r="DK28" s="18">
        <f t="shared" si="62"/>
        <v>1049.9884192827717</v>
      </c>
      <c r="DL28" s="21">
        <f t="shared" si="63"/>
        <v>0.33576716126031764</v>
      </c>
      <c r="DM28" s="21">
        <f t="shared" si="96"/>
        <v>0.61918432044832272</v>
      </c>
      <c r="DN28" s="18">
        <f>LIT_FEC!$B102*$D$24/SUM($D$14:D$26)</f>
        <v>415.689400332209</v>
      </c>
      <c r="DO28" s="18">
        <f t="shared" si="64"/>
        <v>139.04362447484232</v>
      </c>
      <c r="DP28" s="18">
        <f t="shared" si="65"/>
        <v>378.80732253799073</v>
      </c>
      <c r="DQ28" s="21">
        <f t="shared" si="66"/>
        <v>0.36705632706162267</v>
      </c>
      <c r="DR28" s="21">
        <f t="shared" si="97"/>
        <v>0.90857527834077745</v>
      </c>
      <c r="DS28" s="18">
        <f>LIT_FEC!$B102*$D$25/SUM($D$14:D$26)</f>
        <v>289.68451743992983</v>
      </c>
      <c r="DT28" s="18">
        <f t="shared" si="67"/>
        <v>187.21305728272119</v>
      </c>
      <c r="DU28" s="18">
        <f t="shared" si="68"/>
        <v>234.30849907237015</v>
      </c>
      <c r="DV28" s="21">
        <f t="shared" si="69"/>
        <v>0.79900241785466464</v>
      </c>
      <c r="DW28" s="21">
        <f t="shared" si="98"/>
        <v>0.80018833896780583</v>
      </c>
      <c r="DX28" s="18">
        <f>LIT_FEC!$B102*$D$26/SUM($D$14:D$26)</f>
        <v>729.02050004284854</v>
      </c>
      <c r="DY28" s="18">
        <f t="shared" si="70"/>
        <v>487.53719639337703</v>
      </c>
      <c r="DZ28" s="18">
        <f t="shared" si="71"/>
        <v>728.02559827370112</v>
      </c>
      <c r="EA28" s="21">
        <f t="shared" si="72"/>
        <v>0.66967040382842069</v>
      </c>
      <c r="EB28" s="21">
        <f t="shared" si="73"/>
        <v>0.53616549298005667</v>
      </c>
      <c r="EC28" s="18">
        <f t="shared" si="74"/>
        <v>1344.4235501564999</v>
      </c>
      <c r="ED28" s="21">
        <f t="shared" si="75"/>
        <v>0.1384145561473657</v>
      </c>
    </row>
    <row r="29" spans="1:134" ht="45" customHeight="1" thickBot="1" x14ac:dyDescent="0.4">
      <c r="B29" s="22" t="s">
        <v>143</v>
      </c>
      <c r="C29" s="28" t="s">
        <v>144</v>
      </c>
      <c r="D29" s="28" t="s">
        <v>145</v>
      </c>
      <c r="E29" s="54" t="s">
        <v>146</v>
      </c>
      <c r="M29" s="47">
        <f t="shared" si="76"/>
        <v>2046</v>
      </c>
      <c r="N29" s="21">
        <f t="shared" si="77"/>
        <v>0.83090305530478115</v>
      </c>
      <c r="O29" s="18">
        <f>LIT_FEC!B209*D$5/SUM(D$5:D$8)</f>
        <v>372.28238474831028</v>
      </c>
      <c r="P29" s="18">
        <f t="shared" si="1"/>
        <v>77.129883661091199</v>
      </c>
      <c r="Q29" s="18">
        <f t="shared" si="2"/>
        <v>150.58769274079742</v>
      </c>
      <c r="R29" s="21">
        <f t="shared" si="3"/>
        <v>0.51219247906170395</v>
      </c>
      <c r="S29" s="21">
        <f t="shared" si="78"/>
        <v>0.72457857326480446</v>
      </c>
      <c r="T29" s="18">
        <f>LIT_FEC!B209*D$6/SUM(D$5:D$8)</f>
        <v>25693.130217739294</v>
      </c>
      <c r="U29" s="18">
        <f t="shared" si="4"/>
        <v>7487.1070323251051</v>
      </c>
      <c r="V29" s="18">
        <f t="shared" si="5"/>
        <v>14602.200205442638</v>
      </c>
      <c r="W29" s="21">
        <f t="shared" si="6"/>
        <v>0.51273828101154628</v>
      </c>
      <c r="X29" s="21">
        <f t="shared" si="79"/>
        <v>0</v>
      </c>
      <c r="Y29" s="18">
        <f>LIT_FEC!$B209*$D$7/SUM($D$5:$D$8)</f>
        <v>6.6237887077663764</v>
      </c>
      <c r="Z29" s="18">
        <f t="shared" si="7"/>
        <v>0</v>
      </c>
      <c r="AA29" s="18">
        <f t="shared" si="8"/>
        <v>6.6237887077663764</v>
      </c>
      <c r="AB29" s="21">
        <f t="shared" si="9"/>
        <v>0</v>
      </c>
      <c r="AC29" s="21">
        <f t="shared" si="80"/>
        <v>0</v>
      </c>
      <c r="AD29" s="18">
        <f>LIT_FEC!$B209*$D$8/SUM($D$5:$D$8)</f>
        <v>31.124626078034282</v>
      </c>
      <c r="AE29" s="18">
        <f t="shared" si="10"/>
        <v>0</v>
      </c>
      <c r="AF29" s="18">
        <f t="shared" si="11"/>
        <v>31.124626078034282</v>
      </c>
      <c r="AG29" s="21">
        <f t="shared" si="12"/>
        <v>0</v>
      </c>
      <c r="AH29" s="21">
        <f t="shared" si="13"/>
        <v>0.51142411309003155</v>
      </c>
      <c r="AI29" s="18">
        <f t="shared" si="14"/>
        <v>11312.624704304169</v>
      </c>
      <c r="AJ29" s="21">
        <f t="shared" si="15"/>
        <v>0.43338140912582185</v>
      </c>
      <c r="AL29" s="21">
        <f t="shared" si="81"/>
        <v>0.71500204461652683</v>
      </c>
      <c r="AM29" s="18">
        <f>LIT_FEC!$B156*$D$9/SUM($D$9:$D$13)</f>
        <v>16542.449804339853</v>
      </c>
      <c r="AN29" s="18">
        <f t="shared" si="16"/>
        <v>4953.0369249888117</v>
      </c>
      <c r="AO29" s="18">
        <f t="shared" si="17"/>
        <v>9888.7060156895786</v>
      </c>
      <c r="AP29" s="21">
        <f t="shared" si="18"/>
        <v>0.5008781651644052</v>
      </c>
      <c r="AQ29" s="21">
        <f t="shared" si="82"/>
        <v>1</v>
      </c>
      <c r="AR29" s="18">
        <f>LIT_FEC!$B156*$D$10/SUM($D$9:$D$13)</f>
        <v>34.569106118946173</v>
      </c>
      <c r="AS29" s="18">
        <f t="shared" si="19"/>
        <v>34.569106118946173</v>
      </c>
      <c r="AT29" s="18">
        <f t="shared" si="20"/>
        <v>34.569106118946173</v>
      </c>
      <c r="AU29" s="21">
        <f t="shared" si="21"/>
        <v>1</v>
      </c>
      <c r="AV29" s="18">
        <f t="shared" si="83"/>
        <v>0.74337684969046669</v>
      </c>
      <c r="AW29" s="18">
        <f>LIT_FEC!$B156*$D$11/SUM($D$9:$D$13)</f>
        <v>2988.4486576216414</v>
      </c>
      <c r="AX29" s="65">
        <f t="shared" si="22"/>
        <v>1144.1668441196068</v>
      </c>
      <c r="AY29" s="18">
        <f t="shared" si="23"/>
        <v>2131.6192383525922</v>
      </c>
      <c r="AZ29" s="21">
        <f t="shared" si="24"/>
        <v>0.5367594847773417</v>
      </c>
      <c r="BA29" s="18">
        <f t="shared" si="84"/>
        <v>0.92904886276697829</v>
      </c>
      <c r="BB29" s="18">
        <f>LIT_FEC!$B156*$D$12/SUM($D$9:$D$13)</f>
        <v>1578.377902684681</v>
      </c>
      <c r="BC29" s="18">
        <f t="shared" si="25"/>
        <v>1466.3901955057313</v>
      </c>
      <c r="BD29" s="18">
        <f t="shared" si="26"/>
        <v>1578.3779026846812</v>
      </c>
      <c r="BE29" s="21">
        <f t="shared" si="27"/>
        <v>0.92904886276697818</v>
      </c>
      <c r="BF29" s="18">
        <f t="shared" si="85"/>
        <v>1</v>
      </c>
      <c r="BG29" s="18">
        <f>LIT_FEC!$B156*$D$13/SUM($D$9:$D$13)</f>
        <v>4717.0542816239167</v>
      </c>
      <c r="BH29" s="18">
        <f t="shared" si="28"/>
        <v>4717.0542816239167</v>
      </c>
      <c r="BI29" s="18">
        <f t="shared" si="29"/>
        <v>4717.0542816239167</v>
      </c>
      <c r="BJ29" s="21">
        <f t="shared" si="30"/>
        <v>1</v>
      </c>
      <c r="BK29" s="21">
        <f t="shared" si="31"/>
        <v>0.67111706827192563</v>
      </c>
      <c r="BL29" s="18">
        <f t="shared" si="32"/>
        <v>7510.5732079193258</v>
      </c>
      <c r="BM29" s="21">
        <f t="shared" si="33"/>
        <v>0.29042196055941544</v>
      </c>
      <c r="BO29" s="21">
        <f t="shared" si="86"/>
        <v>1</v>
      </c>
      <c r="BP29" s="18">
        <f>LIT_FEC!$B103*$D$14/SUM($D$14:$D$26)</f>
        <v>17.12532783096275</v>
      </c>
      <c r="BQ29" s="18">
        <f t="shared" si="34"/>
        <v>17.125327830962753</v>
      </c>
      <c r="BR29" s="18">
        <f t="shared" si="35"/>
        <v>17.125327830962753</v>
      </c>
      <c r="BS29" s="21">
        <f t="shared" si="36"/>
        <v>1</v>
      </c>
      <c r="BT29" s="21">
        <f t="shared" si="87"/>
        <v>0.68996962748215318</v>
      </c>
      <c r="BU29" s="18">
        <f>LIT_FEC!$B103*$D$15/SUM($D$14:$D$26)</f>
        <v>2572.4483178832184</v>
      </c>
      <c r="BV29" s="18">
        <f t="shared" si="37"/>
        <v>1232.3010794935158</v>
      </c>
      <c r="BW29" s="18">
        <f t="shared" si="38"/>
        <v>2125.2733550478356</v>
      </c>
      <c r="BX29" s="21">
        <f t="shared" si="39"/>
        <v>0.57983180213812036</v>
      </c>
      <c r="BY29" s="21">
        <f t="shared" si="88"/>
        <v>0.87039976915405259</v>
      </c>
      <c r="BZ29" s="18">
        <f>LIT_FEC!$B103*$D$16/SUM($D$14:$D$26)</f>
        <v>0</v>
      </c>
      <c r="CA29" s="18">
        <f t="shared" si="40"/>
        <v>0</v>
      </c>
      <c r="CB29" s="18">
        <f t="shared" si="41"/>
        <v>0</v>
      </c>
      <c r="CC29" s="21">
        <f t="shared" si="42"/>
        <v>0</v>
      </c>
      <c r="CD29" s="21">
        <f t="shared" si="89"/>
        <v>0.40937636462731142</v>
      </c>
      <c r="CE29" s="18">
        <f>LIT_FEC!$B103*$D$17/SUM($D$14:D$26)</f>
        <v>1526.1811000855284</v>
      </c>
      <c r="CF29" s="18">
        <f t="shared" si="43"/>
        <v>440.87891658256723</v>
      </c>
      <c r="CG29" s="18">
        <f t="shared" si="44"/>
        <v>1414.754114653306</v>
      </c>
      <c r="CH29" s="21">
        <f t="shared" si="45"/>
        <v>0.31162935807442926</v>
      </c>
      <c r="CI29" s="21">
        <f t="shared" si="90"/>
        <v>0.87612973238388581</v>
      </c>
      <c r="CJ29" s="18">
        <f>LIT_FEC!$B103*$D$18/SUM($D$14:D$26)</f>
        <v>71.980905297067494</v>
      </c>
      <c r="CK29" s="18">
        <f t="shared" si="46"/>
        <v>56.004143864997012</v>
      </c>
      <c r="CL29" s="18">
        <f t="shared" si="47"/>
        <v>70.420226563913673</v>
      </c>
      <c r="CM29" s="21">
        <f t="shared" si="48"/>
        <v>0.79528491454323047</v>
      </c>
      <c r="CN29" s="21">
        <f t="shared" si="91"/>
        <v>0.93458894408076054</v>
      </c>
      <c r="CO29" s="18">
        <f>LIT_FEC!$B103*$D$19/SUM($D$14:D$26)</f>
        <v>327.31102319312458</v>
      </c>
      <c r="CP29" s="18">
        <f t="shared" si="49"/>
        <v>260.73943734448522</v>
      </c>
      <c r="CQ29" s="18">
        <f t="shared" si="50"/>
        <v>294.47126411053506</v>
      </c>
      <c r="CR29" s="21">
        <f t="shared" si="51"/>
        <v>0.88544951281430306</v>
      </c>
      <c r="CS29" s="18">
        <f t="shared" si="92"/>
        <v>0.90141834495386053</v>
      </c>
      <c r="CT29" s="18">
        <f>LIT_FEC!$B103*$D$20/SUM($D$14:D$26)</f>
        <v>120.72418913833012</v>
      </c>
      <c r="CU29" s="18">
        <f t="shared" si="52"/>
        <v>58.774736325496207</v>
      </c>
      <c r="CV29" s="18">
        <f t="shared" si="53"/>
        <v>76.796524441294423</v>
      </c>
      <c r="CW29" s="21">
        <f t="shared" si="54"/>
        <v>0.7653306806927882</v>
      </c>
      <c r="CX29" s="21">
        <f t="shared" si="93"/>
        <v>0.82045365113746205</v>
      </c>
      <c r="CY29" s="18">
        <f>LIT_FEC!$B103*$D$21/SUM($D$14:D$26)</f>
        <v>2044.577553624167</v>
      </c>
      <c r="CZ29" s="18">
        <f t="shared" si="55"/>
        <v>1012.6092533524914</v>
      </c>
      <c r="DA29" s="18">
        <f t="shared" si="56"/>
        <v>1566.6024436192481</v>
      </c>
      <c r="DB29" s="21">
        <f t="shared" si="57"/>
        <v>0.64637282896936366</v>
      </c>
      <c r="DC29" s="21">
        <f t="shared" si="94"/>
        <v>0.90168304486175566</v>
      </c>
      <c r="DD29" s="18">
        <f>LIT_FEC!$B103*$D$22/SUM($D$14:D$26)</f>
        <v>496.77168012183932</v>
      </c>
      <c r="DE29" s="18">
        <f t="shared" si="58"/>
        <v>278.5056322023031</v>
      </c>
      <c r="DF29" s="18">
        <f t="shared" si="59"/>
        <v>354.42428760737494</v>
      </c>
      <c r="DG29" s="21">
        <f t="shared" si="60"/>
        <v>0.78579725470401962</v>
      </c>
      <c r="DH29" s="21">
        <f t="shared" si="95"/>
        <v>0.55934602406978429</v>
      </c>
      <c r="DI29" s="18">
        <f>LIT_FEC!$B103*$D$23/SUM($D$14:D$26)</f>
        <v>1077.9431102404533</v>
      </c>
      <c r="DJ29" s="45">
        <f t="shared" si="61"/>
        <v>352.23630397462034</v>
      </c>
      <c r="DK29" s="18">
        <f t="shared" si="62"/>
        <v>1045.9675594685177</v>
      </c>
      <c r="DL29" s="21">
        <f t="shared" si="63"/>
        <v>0.336756432631238</v>
      </c>
      <c r="DM29" s="21">
        <f t="shared" si="96"/>
        <v>0.62222185894046511</v>
      </c>
      <c r="DN29" s="18">
        <f>LIT_FEC!$B103*$D$24/SUM($D$14:D$26)</f>
        <v>414.50620605623692</v>
      </c>
      <c r="DO29" s="18">
        <f t="shared" si="64"/>
        <v>139.3280248786856</v>
      </c>
      <c r="DP29" s="18">
        <f t="shared" si="65"/>
        <v>376.50226555085612</v>
      </c>
      <c r="DQ29" s="21">
        <f t="shared" si="66"/>
        <v>0.37005892826391462</v>
      </c>
      <c r="DR29" s="21">
        <f t="shared" si="97"/>
        <v>0.91455204524999478</v>
      </c>
      <c r="DS29" s="18">
        <f>LIT_FEC!$B103*$D$25/SUM($D$14:D$26)</f>
        <v>288.85997617763456</v>
      </c>
      <c r="DT29" s="18">
        <f t="shared" si="67"/>
        <v>187.9081997292954</v>
      </c>
      <c r="DU29" s="18">
        <f t="shared" si="68"/>
        <v>231.79955460356811</v>
      </c>
      <c r="DV29" s="21">
        <f t="shared" si="69"/>
        <v>0.81064952885980612</v>
      </c>
      <c r="DW29" s="21">
        <f t="shared" si="98"/>
        <v>0.80024418437717415</v>
      </c>
      <c r="DX29" s="18">
        <f>LIT_FEC!$B103*$D$26/SUM($D$14:D$26)</f>
        <v>726.94545823993587</v>
      </c>
      <c r="DY29" s="18">
        <f t="shared" si="70"/>
        <v>486.18342723921569</v>
      </c>
      <c r="DZ29" s="18">
        <f t="shared" si="71"/>
        <v>725.92029398931152</v>
      </c>
      <c r="EA29" s="21">
        <f t="shared" si="72"/>
        <v>0.66974767238891142</v>
      </c>
      <c r="EB29" s="21">
        <f t="shared" si="73"/>
        <v>0.54488714527055837</v>
      </c>
      <c r="EC29" s="18">
        <f t="shared" si="74"/>
        <v>1385.3176304017761</v>
      </c>
      <c r="ED29" s="21">
        <f t="shared" si="75"/>
        <v>0.14303190657652118</v>
      </c>
    </row>
    <row r="30" spans="1:134" ht="15" thickBot="1" x14ac:dyDescent="0.4">
      <c r="B30" s="23" t="s">
        <v>154</v>
      </c>
      <c r="C30" s="34">
        <v>12.9</v>
      </c>
      <c r="D30" s="34">
        <v>342.16899999999998</v>
      </c>
      <c r="E30" s="21">
        <f t="shared" ref="E30:E51" si="102">IF(D30=0,0,C30/D30)</f>
        <v>3.7700668383167386E-2</v>
      </c>
      <c r="M30" s="47">
        <f t="shared" si="76"/>
        <v>2047</v>
      </c>
      <c r="N30" s="21">
        <f t="shared" si="77"/>
        <v>0.84751466241798901</v>
      </c>
      <c r="O30" s="18">
        <f>LIT_FEC!B210*D$5/SUM(D$5:D$8)</f>
        <v>371.86035110324769</v>
      </c>
      <c r="P30" s="18">
        <f t="shared" si="1"/>
        <v>78.582696757523379</v>
      </c>
      <c r="Q30" s="18">
        <f t="shared" si="2"/>
        <v>144.74912383357679</v>
      </c>
      <c r="R30" s="21">
        <f t="shared" si="3"/>
        <v>0.54288892862572835</v>
      </c>
      <c r="S30" s="21">
        <f t="shared" si="78"/>
        <v>0.74271065007903947</v>
      </c>
      <c r="T30" s="18">
        <f>LIT_FEC!B210*D$6/SUM(D$5:D$8)</f>
        <v>25664.003496080964</v>
      </c>
      <c r="U30" s="18">
        <f t="shared" si="4"/>
        <v>7665.7666278725264</v>
      </c>
      <c r="V30" s="18">
        <f t="shared" si="5"/>
        <v>14304.910275615628</v>
      </c>
      <c r="W30" s="21">
        <f t="shared" si="6"/>
        <v>0.5358835868365921</v>
      </c>
      <c r="X30" s="21">
        <f t="shared" si="79"/>
        <v>0</v>
      </c>
      <c r="Y30" s="18">
        <f>LIT_FEC!$B210*$D$7/SUM($D$5:$D$8)</f>
        <v>6.6162797258564394</v>
      </c>
      <c r="Z30" s="18">
        <f t="shared" si="7"/>
        <v>0</v>
      </c>
      <c r="AA30" s="18">
        <f t="shared" si="8"/>
        <v>6.6162797258564394</v>
      </c>
      <c r="AB30" s="21">
        <f t="shared" si="9"/>
        <v>0</v>
      </c>
      <c r="AC30" s="21">
        <f t="shared" si="80"/>
        <v>0</v>
      </c>
      <c r="AD30" s="18">
        <f>LIT_FEC!$B210*$D$8/SUM($D$5:$D$8)</f>
        <v>31.08934200354388</v>
      </c>
      <c r="AE30" s="18">
        <f t="shared" si="10"/>
        <v>0</v>
      </c>
      <c r="AF30" s="18">
        <f t="shared" si="11"/>
        <v>31.08934200354388</v>
      </c>
      <c r="AG30" s="21">
        <f t="shared" si="12"/>
        <v>0</v>
      </c>
      <c r="AH30" s="21">
        <f t="shared" si="13"/>
        <v>0.53455885962069971</v>
      </c>
      <c r="AI30" s="18">
        <f t="shared" si="14"/>
        <v>11586.204447735005</v>
      </c>
      <c r="AJ30" s="21">
        <f t="shared" si="15"/>
        <v>0.44436587255721682</v>
      </c>
      <c r="AL30" s="21">
        <f t="shared" si="81"/>
        <v>0.73122764423130715</v>
      </c>
      <c r="AM30" s="18">
        <f>LIT_FEC!$B157*$D$9/SUM($D$9:$D$13)</f>
        <v>16560.492489520035</v>
      </c>
      <c r="AN30" s="18">
        <f t="shared" si="16"/>
        <v>5070.9614164343047</v>
      </c>
      <c r="AO30" s="18">
        <f t="shared" si="17"/>
        <v>9730.708133682534</v>
      </c>
      <c r="AP30" s="21">
        <f t="shared" si="18"/>
        <v>0.52112974171749482</v>
      </c>
      <c r="AQ30" s="21">
        <f t="shared" si="82"/>
        <v>1</v>
      </c>
      <c r="AR30" s="18">
        <f>LIT_FEC!$B157*$D$10/SUM($D$9:$D$13)</f>
        <v>34.606810298559324</v>
      </c>
      <c r="AS30" s="18">
        <f t="shared" si="19"/>
        <v>34.606810298559324</v>
      </c>
      <c r="AT30" s="18">
        <f t="shared" si="20"/>
        <v>34.606810298559324</v>
      </c>
      <c r="AU30" s="21">
        <f t="shared" si="21"/>
        <v>1</v>
      </c>
      <c r="AV30" s="18">
        <f t="shared" si="83"/>
        <v>0.75278085804848105</v>
      </c>
      <c r="AW30" s="18">
        <f>LIT_FEC!$B157*$D$11/SUM($D$9:$D$13)</f>
        <v>2991.7081287969718</v>
      </c>
      <c r="AX30" s="65">
        <f t="shared" si="22"/>
        <v>1159.9047211097804</v>
      </c>
      <c r="AY30" s="18">
        <f t="shared" si="23"/>
        <v>2112.2092557975111</v>
      </c>
      <c r="AZ30" s="21">
        <f t="shared" si="24"/>
        <v>0.54914290235501917</v>
      </c>
      <c r="BA30" s="18">
        <f t="shared" si="84"/>
        <v>0.94610623659369397</v>
      </c>
      <c r="BB30" s="18">
        <f>LIT_FEC!$B157*$D$12/SUM($D$9:$D$13)</f>
        <v>1580.0994237369025</v>
      </c>
      <c r="BC30" s="18">
        <f t="shared" si="25"/>
        <v>1494.9419192355854</v>
      </c>
      <c r="BD30" s="18">
        <f t="shared" si="26"/>
        <v>1580.0994237369025</v>
      </c>
      <c r="BE30" s="21">
        <f t="shared" si="27"/>
        <v>0.94610623659369397</v>
      </c>
      <c r="BF30" s="18">
        <f t="shared" si="85"/>
        <v>1</v>
      </c>
      <c r="BG30" s="18">
        <f>LIT_FEC!$B157*$D$13/SUM($D$9:$D$13)</f>
        <v>4722.1991257303098</v>
      </c>
      <c r="BH30" s="18">
        <f t="shared" si="28"/>
        <v>4722.1991257303098</v>
      </c>
      <c r="BI30" s="18">
        <f t="shared" si="29"/>
        <v>4722.1991257303098</v>
      </c>
      <c r="BJ30" s="21">
        <f t="shared" si="30"/>
        <v>1</v>
      </c>
      <c r="BK30" s="21">
        <f t="shared" si="31"/>
        <v>0.68661912522367008</v>
      </c>
      <c r="BL30" s="18">
        <f t="shared" si="32"/>
        <v>7709.2832288369573</v>
      </c>
      <c r="BM30" s="21">
        <f t="shared" si="33"/>
        <v>0.29778097534010983</v>
      </c>
      <c r="BO30" s="21">
        <f t="shared" si="86"/>
        <v>1</v>
      </c>
      <c r="BP30" s="18">
        <f>LIT_FEC!$B104*$D$14/SUM($D$14:$D$26)</f>
        <v>17.075381596164693</v>
      </c>
      <c r="BQ30" s="18">
        <f t="shared" si="34"/>
        <v>17.075381596164696</v>
      </c>
      <c r="BR30" s="18">
        <f t="shared" si="35"/>
        <v>17.075381596164696</v>
      </c>
      <c r="BS30" s="21">
        <f t="shared" si="36"/>
        <v>1</v>
      </c>
      <c r="BT30" s="21">
        <f t="shared" si="87"/>
        <v>0.70032463987328386</v>
      </c>
      <c r="BU30" s="18">
        <f>LIT_FEC!$B104*$D$15/SUM($D$14:$D$26)</f>
        <v>2564.94573989119</v>
      </c>
      <c r="BV30" s="18">
        <f t="shared" si="37"/>
        <v>1247.1474011562907</v>
      </c>
      <c r="BW30" s="18">
        <f t="shared" si="38"/>
        <v>2107.7770294713764</v>
      </c>
      <c r="BX30" s="21">
        <f t="shared" si="39"/>
        <v>0.5916884868363288</v>
      </c>
      <c r="BY30" s="21">
        <f t="shared" si="88"/>
        <v>0.89245486703294541</v>
      </c>
      <c r="BZ30" s="18">
        <f>LIT_FEC!$B104*$D$16/SUM($D$14:$D$26)</f>
        <v>0</v>
      </c>
      <c r="CA30" s="18">
        <f t="shared" si="40"/>
        <v>0</v>
      </c>
      <c r="CB30" s="18">
        <f t="shared" si="41"/>
        <v>0</v>
      </c>
      <c r="CC30" s="21">
        <f t="shared" si="42"/>
        <v>0</v>
      </c>
      <c r="CD30" s="21">
        <f t="shared" si="89"/>
        <v>0.41431298531656247</v>
      </c>
      <c r="CE30" s="18">
        <f>LIT_FEC!$B104*$D$17/SUM($D$14:D$26)</f>
        <v>1521.7299736416066</v>
      </c>
      <c r="CF30" s="18">
        <f t="shared" si="43"/>
        <v>444.8940882004689</v>
      </c>
      <c r="CG30" s="18">
        <f t="shared" si="44"/>
        <v>1407.8127477910862</v>
      </c>
      <c r="CH30" s="21">
        <f t="shared" si="45"/>
        <v>0.31601794265503369</v>
      </c>
      <c r="CI30" s="21">
        <f t="shared" si="90"/>
        <v>0.87688359051694742</v>
      </c>
      <c r="CJ30" s="18">
        <f>LIT_FEC!$B104*$D$18/SUM($D$14:D$26)</f>
        <v>71.770972078128253</v>
      </c>
      <c r="CK30" s="18">
        <f t="shared" si="46"/>
        <v>55.888854804442687</v>
      </c>
      <c r="CL30" s="18">
        <f t="shared" si="47"/>
        <v>70.175414314134613</v>
      </c>
      <c r="CM30" s="21">
        <f t="shared" si="48"/>
        <v>0.79641645654218318</v>
      </c>
      <c r="CN30" s="21">
        <f t="shared" si="91"/>
        <v>0.93810445893561922</v>
      </c>
      <c r="CO30" s="18">
        <f>LIT_FEC!$B104*$D$19/SUM($D$14:D$26)</f>
        <v>326.35641646221939</v>
      </c>
      <c r="CP30" s="18">
        <f t="shared" si="49"/>
        <v>260.95691473030428</v>
      </c>
      <c r="CQ30" s="18">
        <f t="shared" si="50"/>
        <v>292.7827337696765</v>
      </c>
      <c r="CR30" s="21">
        <f t="shared" si="51"/>
        <v>0.89129885280595589</v>
      </c>
      <c r="CS30" s="18">
        <f t="shared" si="92"/>
        <v>0.91088268878581091</v>
      </c>
      <c r="CT30" s="18">
        <f>LIT_FEC!$B104*$D$20/SUM($D$14:D$26)</f>
        <v>120.37209551676416</v>
      </c>
      <c r="CU30" s="18">
        <f t="shared" si="52"/>
        <v>59.218618237123671</v>
      </c>
      <c r="CV30" s="18">
        <f t="shared" si="53"/>
        <v>75.462707714811984</v>
      </c>
      <c r="CW30" s="21">
        <f t="shared" si="54"/>
        <v>0.78474017207177571</v>
      </c>
      <c r="CX30" s="21">
        <f t="shared" si="93"/>
        <v>0.82699573949478156</v>
      </c>
      <c r="CY30" s="18">
        <f>LIT_FEC!$B104*$D$21/SUM($D$14:D$26)</f>
        <v>2038.6145173795985</v>
      </c>
      <c r="CZ30" s="18">
        <f t="shared" si="55"/>
        <v>1017.7067050861043</v>
      </c>
      <c r="DA30" s="18">
        <f t="shared" si="56"/>
        <v>1549.9573187113483</v>
      </c>
      <c r="DB30" s="21">
        <f t="shared" si="57"/>
        <v>0.656603051451918</v>
      </c>
      <c r="DC30" s="21">
        <f t="shared" si="94"/>
        <v>0.90946822024140705</v>
      </c>
      <c r="DD30" s="18">
        <f>LIT_FEC!$B104*$D$22/SUM($D$14:D$26)</f>
        <v>495.32283924583993</v>
      </c>
      <c r="DE30" s="18">
        <f t="shared" si="58"/>
        <v>280.09098508271472</v>
      </c>
      <c r="DF30" s="18">
        <f t="shared" si="59"/>
        <v>349.79417758993873</v>
      </c>
      <c r="DG30" s="21">
        <f t="shared" si="60"/>
        <v>0.80073083838194536</v>
      </c>
      <c r="DH30" s="21">
        <f t="shared" si="95"/>
        <v>0.56020377942285449</v>
      </c>
      <c r="DI30" s="18">
        <f>LIT_FEC!$B104*$D$23/SUM($D$14:D$26)</f>
        <v>1074.7992755521809</v>
      </c>
      <c r="DJ30" s="45">
        <f t="shared" si="61"/>
        <v>351.74758023836665</v>
      </c>
      <c r="DK30" s="18">
        <f t="shared" si="62"/>
        <v>1042.1091150416732</v>
      </c>
      <c r="DL30" s="21">
        <f t="shared" si="63"/>
        <v>0.3375343091824895</v>
      </c>
      <c r="DM30" s="21">
        <f t="shared" si="96"/>
        <v>0.62460611065692728</v>
      </c>
      <c r="DN30" s="18">
        <f>LIT_FEC!$B104*$D$24/SUM($D$14:D$26)</f>
        <v>413.2972934738159</v>
      </c>
      <c r="DO30" s="18">
        <f t="shared" si="64"/>
        <v>139.45399791298377</v>
      </c>
      <c r="DP30" s="18">
        <f t="shared" si="65"/>
        <v>374.44401698098113</v>
      </c>
      <c r="DQ30" s="21">
        <f t="shared" si="66"/>
        <v>0.37242949970827538</v>
      </c>
      <c r="DR30" s="21">
        <f t="shared" si="97"/>
        <v>0.91924338226483726</v>
      </c>
      <c r="DS30" s="18">
        <f>LIT_FEC!$B104*$D$25/SUM($D$14:D$26)</f>
        <v>288.01751241073117</v>
      </c>
      <c r="DT30" s="18">
        <f t="shared" si="67"/>
        <v>188.3212562014389</v>
      </c>
      <c r="DU30" s="18">
        <f t="shared" si="68"/>
        <v>229.68186861345112</v>
      </c>
      <c r="DV30" s="21">
        <f t="shared" si="69"/>
        <v>0.81992217034065884</v>
      </c>
      <c r="DW30" s="21">
        <f t="shared" si="98"/>
        <v>0.80028801905235192</v>
      </c>
      <c r="DX30" s="18">
        <f>LIT_FEC!$B104*$D$26/SUM($D$14:D$26)</f>
        <v>724.82531263449027</v>
      </c>
      <c r="DY30" s="18">
        <f t="shared" si="70"/>
        <v>484.79202095236064</v>
      </c>
      <c r="DZ30" s="18">
        <f t="shared" si="71"/>
        <v>723.77723736781013</v>
      </c>
      <c r="EA30" s="21">
        <f t="shared" si="72"/>
        <v>0.66980832764984888</v>
      </c>
      <c r="EB30" s="21">
        <f t="shared" si="73"/>
        <v>0.55179913998204866</v>
      </c>
      <c r="EC30" s="18">
        <f t="shared" si="74"/>
        <v>1416.277580920274</v>
      </c>
      <c r="ED30" s="21">
        <f t="shared" si="75"/>
        <v>0.14665619832284768</v>
      </c>
    </row>
    <row r="31" spans="1:134" ht="15" thickBot="1" x14ac:dyDescent="0.4">
      <c r="B31" s="23" t="s">
        <v>157</v>
      </c>
      <c r="C31" s="34">
        <v>84.7</v>
      </c>
      <c r="D31" s="34">
        <v>23614.85</v>
      </c>
      <c r="E31" s="21">
        <f t="shared" si="102"/>
        <v>3.5867261490121686E-3</v>
      </c>
      <c r="M31" s="47">
        <f t="shared" si="76"/>
        <v>2048</v>
      </c>
      <c r="N31" s="21">
        <f t="shared" si="77"/>
        <v>0.86037406234498048</v>
      </c>
      <c r="O31" s="18">
        <f>LIT_FEC!B211*D$5/SUM(D$5:D$8)</f>
        <v>371.39803421736309</v>
      </c>
      <c r="P31" s="18">
        <f t="shared" si="1"/>
        <v>79.675856936254604</v>
      </c>
      <c r="Q31" s="18">
        <f t="shared" si="2"/>
        <v>140.18700970771573</v>
      </c>
      <c r="R31" s="21">
        <f t="shared" si="3"/>
        <v>0.5683540657752495</v>
      </c>
      <c r="S31" s="21">
        <f t="shared" si="78"/>
        <v>0.75674707808219088</v>
      </c>
      <c r="T31" s="18">
        <f>LIT_FEC!B211*D$6/SUM(D$5:D$8)</f>
        <v>25632.096619909742</v>
      </c>
      <c r="U31" s="18">
        <f t="shared" si="4"/>
        <v>7800.9307147545142</v>
      </c>
      <c r="V31" s="18">
        <f t="shared" si="5"/>
        <v>14070.071849563461</v>
      </c>
      <c r="W31" s="21">
        <f t="shared" si="6"/>
        <v>0.55443431975058088</v>
      </c>
      <c r="X31" s="21">
        <f t="shared" si="79"/>
        <v>0</v>
      </c>
      <c r="Y31" s="18">
        <f>LIT_FEC!$B211*$D$7/SUM($D$5:$D$8)</f>
        <v>6.6080540093208517</v>
      </c>
      <c r="Z31" s="18">
        <f t="shared" si="7"/>
        <v>0</v>
      </c>
      <c r="AA31" s="18">
        <f t="shared" si="8"/>
        <v>6.6080540093208517</v>
      </c>
      <c r="AB31" s="21">
        <f t="shared" si="9"/>
        <v>0</v>
      </c>
      <c r="AC31" s="21">
        <f t="shared" si="80"/>
        <v>0</v>
      </c>
      <c r="AD31" s="18">
        <f>LIT_FEC!$B211*$D$8/SUM($D$5:$D$8)</f>
        <v>31.050690053324836</v>
      </c>
      <c r="AE31" s="18">
        <f t="shared" si="10"/>
        <v>0</v>
      </c>
      <c r="AF31" s="18">
        <f t="shared" si="11"/>
        <v>31.050690053324836</v>
      </c>
      <c r="AG31" s="21">
        <f t="shared" si="12"/>
        <v>0</v>
      </c>
      <c r="AH31" s="21">
        <f t="shared" si="13"/>
        <v>0.55310584964688536</v>
      </c>
      <c r="AI31" s="18">
        <f t="shared" si="14"/>
        <v>11793.235794855929</v>
      </c>
      <c r="AJ31" s="21">
        <f t="shared" si="15"/>
        <v>0.45286918035188622</v>
      </c>
      <c r="AL31" s="21">
        <f t="shared" si="81"/>
        <v>0.74378822750779239</v>
      </c>
      <c r="AM31" s="18">
        <f>LIT_FEC!$B158*$D$9/SUM($D$9:$D$13)</f>
        <v>16576.735523917796</v>
      </c>
      <c r="AN31" s="18">
        <f t="shared" si="16"/>
        <v>5163.1264934669398</v>
      </c>
      <c r="AO31" s="18">
        <f t="shared" si="17"/>
        <v>9609.4653220778782</v>
      </c>
      <c r="AP31" s="21">
        <f t="shared" si="18"/>
        <v>0.53729591818231404</v>
      </c>
      <c r="AQ31" s="21">
        <f t="shared" si="82"/>
        <v>1</v>
      </c>
      <c r="AR31" s="18">
        <f>LIT_FEC!$B158*$D$10/SUM($D$9:$D$13)</f>
        <v>34.640753709990598</v>
      </c>
      <c r="AS31" s="18">
        <f t="shared" si="19"/>
        <v>34.640753709990598</v>
      </c>
      <c r="AT31" s="18">
        <f t="shared" si="20"/>
        <v>34.640753709990598</v>
      </c>
      <c r="AU31" s="21">
        <f t="shared" si="21"/>
        <v>1</v>
      </c>
      <c r="AV31" s="18">
        <f t="shared" si="83"/>
        <v>0.76006070180883145</v>
      </c>
      <c r="AW31" s="18">
        <f>LIT_FEC!$B158*$D$11/SUM($D$9:$D$13)</f>
        <v>2994.6424870640863</v>
      </c>
      <c r="AX31" s="65">
        <f t="shared" si="22"/>
        <v>1172.2703693040262</v>
      </c>
      <c r="AY31" s="18">
        <f t="shared" si="23"/>
        <v>2097.4390072553124</v>
      </c>
      <c r="AZ31" s="21">
        <f t="shared" si="24"/>
        <v>0.55890558211656771</v>
      </c>
      <c r="BA31" s="18">
        <f t="shared" si="84"/>
        <v>0.95931071405617463</v>
      </c>
      <c r="BB31" s="18">
        <f>LIT_FEC!$B158*$D$12/SUM($D$9:$D$13)</f>
        <v>1581.6492332795767</v>
      </c>
      <c r="BC31" s="18">
        <f t="shared" si="25"/>
        <v>1517.2930553638319</v>
      </c>
      <c r="BD31" s="18">
        <f t="shared" si="26"/>
        <v>1581.6492332795767</v>
      </c>
      <c r="BE31" s="21">
        <f t="shared" si="27"/>
        <v>0.95931071405617463</v>
      </c>
      <c r="BF31" s="18">
        <f t="shared" si="85"/>
        <v>1</v>
      </c>
      <c r="BG31" s="18">
        <f>LIT_FEC!$B158*$D$13/SUM($D$9:$D$13)</f>
        <v>4726.8308021663124</v>
      </c>
      <c r="BH31" s="18">
        <f t="shared" si="28"/>
        <v>4726.8308021663124</v>
      </c>
      <c r="BI31" s="18">
        <f t="shared" si="29"/>
        <v>4726.8308021663124</v>
      </c>
      <c r="BJ31" s="21">
        <f t="shared" si="30"/>
        <v>1</v>
      </c>
      <c r="BK31" s="21">
        <f t="shared" si="31"/>
        <v>0.69884453850926309</v>
      </c>
      <c r="BL31" s="18">
        <f t="shared" si="32"/>
        <v>7864.4736816486911</v>
      </c>
      <c r="BM31" s="21">
        <f t="shared" si="33"/>
        <v>0.30347774588667265</v>
      </c>
      <c r="BO31" s="21">
        <f t="shared" si="86"/>
        <v>1</v>
      </c>
      <c r="BP31" s="18">
        <f>LIT_FEC!$B105*$D$14/SUM($D$14:$D$26)</f>
        <v>17.023712643801858</v>
      </c>
      <c r="BQ31" s="18">
        <f t="shared" si="34"/>
        <v>17.023712643801861</v>
      </c>
      <c r="BR31" s="18">
        <f t="shared" si="35"/>
        <v>17.023712643801861</v>
      </c>
      <c r="BS31" s="21">
        <f t="shared" si="36"/>
        <v>1</v>
      </c>
      <c r="BT31" s="21">
        <f t="shared" si="87"/>
        <v>0.70834067617121832</v>
      </c>
      <c r="BU31" s="18">
        <f>LIT_FEC!$B105*$D$15/SUM($D$14:$D$26)</f>
        <v>2557.1843871799006</v>
      </c>
      <c r="BV31" s="18">
        <f t="shared" si="37"/>
        <v>1257.6054855939865</v>
      </c>
      <c r="BW31" s="18">
        <f t="shared" si="38"/>
        <v>2092.6795272229851</v>
      </c>
      <c r="BX31" s="21">
        <f t="shared" si="39"/>
        <v>0.60095464653531849</v>
      </c>
      <c r="BY31" s="21">
        <f t="shared" si="88"/>
        <v>0.90952818944665237</v>
      </c>
      <c r="BZ31" s="18">
        <f>LIT_FEC!$B105*$D$16/SUM($D$14:$D$26)</f>
        <v>0</v>
      </c>
      <c r="CA31" s="18">
        <f t="shared" si="40"/>
        <v>0</v>
      </c>
      <c r="CB31" s="18">
        <f t="shared" si="41"/>
        <v>0</v>
      </c>
      <c r="CC31" s="21">
        <f t="shared" si="42"/>
        <v>0</v>
      </c>
      <c r="CD31" s="21">
        <f t="shared" si="89"/>
        <v>0.41813452884924479</v>
      </c>
      <c r="CE31" s="18">
        <f>LIT_FEC!$B105*$D$17/SUM($D$14:D$26)</f>
        <v>1517.1253214366541</v>
      </c>
      <c r="CF31" s="18">
        <f t="shared" si="43"/>
        <v>447.63906920503661</v>
      </c>
      <c r="CG31" s="18">
        <f t="shared" si="44"/>
        <v>1401.3800750225132</v>
      </c>
      <c r="CH31" s="21">
        <f t="shared" si="45"/>
        <v>0.31942731110819117</v>
      </c>
      <c r="CI31" s="21">
        <f t="shared" si="90"/>
        <v>0.87746716820182702</v>
      </c>
      <c r="CJ31" s="18">
        <f>LIT_FEC!$B105*$D$18/SUM($D$14:D$26)</f>
        <v>71.553797960147065</v>
      </c>
      <c r="CK31" s="18">
        <f t="shared" si="46"/>
        <v>55.756821128369445</v>
      </c>
      <c r="CL31" s="18">
        <f t="shared" si="47"/>
        <v>69.932636409006676</v>
      </c>
      <c r="CM31" s="21">
        <f t="shared" si="48"/>
        <v>0.79729328095499175</v>
      </c>
      <c r="CN31" s="21">
        <f t="shared" si="91"/>
        <v>0.94082589408393569</v>
      </c>
      <c r="CO31" s="18">
        <f>LIT_FEC!$B105*$D$19/SUM($D$14:D$26)</f>
        <v>325.36888397045476</v>
      </c>
      <c r="CP31" s="18">
        <f t="shared" si="49"/>
        <v>260.92202035431967</v>
      </c>
      <c r="CQ31" s="18">
        <f t="shared" si="50"/>
        <v>291.25644709126266</v>
      </c>
      <c r="CR31" s="21">
        <f t="shared" si="51"/>
        <v>0.89584976731025645</v>
      </c>
      <c r="CS31" s="18">
        <f t="shared" si="92"/>
        <v>0.91820923952543421</v>
      </c>
      <c r="CT31" s="18">
        <f>LIT_FEC!$B105*$D$20/SUM($D$14:D$26)</f>
        <v>120.00785767914728</v>
      </c>
      <c r="CU31" s="18">
        <f t="shared" si="52"/>
        <v>59.514301627220121</v>
      </c>
      <c r="CV31" s="18">
        <f t="shared" si="53"/>
        <v>74.377812542111329</v>
      </c>
      <c r="CW31" s="21">
        <f t="shared" si="54"/>
        <v>0.80016203210499415</v>
      </c>
      <c r="CX31" s="21">
        <f t="shared" si="93"/>
        <v>0.83206010984565482</v>
      </c>
      <c r="CY31" s="18">
        <f>LIT_FEC!$B105*$D$21/SUM($D$14:D$26)</f>
        <v>2032.4458074277036</v>
      </c>
      <c r="CZ31" s="18">
        <f t="shared" si="55"/>
        <v>1020.8405842652651</v>
      </c>
      <c r="DA31" s="18">
        <f t="shared" si="56"/>
        <v>1535.9471659832852</v>
      </c>
      <c r="DB31" s="21">
        <f t="shared" si="57"/>
        <v>0.66463261684638852</v>
      </c>
      <c r="DC31" s="21">
        <f t="shared" si="94"/>
        <v>0.91549489081135493</v>
      </c>
      <c r="DD31" s="18">
        <f>LIT_FEC!$B105*$D$22/SUM($D$14:D$26)</f>
        <v>493.82402576157983</v>
      </c>
      <c r="DE31" s="18">
        <f t="shared" si="58"/>
        <v>281.0938797582333</v>
      </c>
      <c r="DF31" s="18">
        <f t="shared" si="59"/>
        <v>345.96007737343126</v>
      </c>
      <c r="DG31" s="21">
        <f t="shared" si="60"/>
        <v>0.81250380648637377</v>
      </c>
      <c r="DH31" s="21">
        <f t="shared" si="95"/>
        <v>0.56086778616521715</v>
      </c>
      <c r="DI31" s="18">
        <f>LIT_FEC!$B105*$D$23/SUM($D$14:D$26)</f>
        <v>1071.5470054781354</v>
      </c>
      <c r="DJ31" s="45">
        <f t="shared" si="61"/>
        <v>351.09887886310383</v>
      </c>
      <c r="DK31" s="18">
        <f t="shared" si="62"/>
        <v>1038.3322685903934</v>
      </c>
      <c r="DL31" s="21">
        <f t="shared" si="63"/>
        <v>0.33813730872463826</v>
      </c>
      <c r="DM31" s="21">
        <f t="shared" si="96"/>
        <v>0.62645181084352919</v>
      </c>
      <c r="DN31" s="18">
        <f>LIT_FEC!$B105*$D$24/SUM($D$14:D$26)</f>
        <v>412.04668375549585</v>
      </c>
      <c r="DO31" s="18">
        <f t="shared" si="64"/>
        <v>139.4428567245192</v>
      </c>
      <c r="DP31" s="18">
        <f t="shared" si="65"/>
        <v>372.56993185880833</v>
      </c>
      <c r="DQ31" s="21">
        <f t="shared" si="66"/>
        <v>0.37427297481795557</v>
      </c>
      <c r="DR31" s="21">
        <f t="shared" si="97"/>
        <v>0.92287504646535834</v>
      </c>
      <c r="DS31" s="18">
        <f>LIT_FEC!$B105*$D$25/SUM($D$14:D$26)</f>
        <v>287.1459908552917</v>
      </c>
      <c r="DT31" s="18">
        <f t="shared" si="67"/>
        <v>188.49316019372617</v>
      </c>
      <c r="DU31" s="18">
        <f t="shared" si="68"/>
        <v>227.87423967251937</v>
      </c>
      <c r="DV31" s="21">
        <f t="shared" si="69"/>
        <v>0.82718064343127073</v>
      </c>
      <c r="DW31" s="21">
        <f t="shared" si="98"/>
        <v>0.80032195241081261</v>
      </c>
      <c r="DX31" s="18">
        <f>LIT_FEC!$B105*$D$26/SUM($D$14:D$26)</f>
        <v>722.63204015393262</v>
      </c>
      <c r="DY31" s="18">
        <f t="shared" si="70"/>
        <v>483.34556668905839</v>
      </c>
      <c r="DZ31" s="18">
        <f t="shared" si="71"/>
        <v>721.56714650771937</v>
      </c>
      <c r="EA31" s="21">
        <f t="shared" si="72"/>
        <v>0.66985528516421655</v>
      </c>
      <c r="EB31" s="21">
        <f t="shared" si="73"/>
        <v>0.55719031335799729</v>
      </c>
      <c r="EC31" s="18">
        <f t="shared" si="74"/>
        <v>1439.0044733844079</v>
      </c>
      <c r="ED31" s="21">
        <f t="shared" si="75"/>
        <v>0.1494618399865649</v>
      </c>
    </row>
    <row r="32" spans="1:134" ht="15" thickBot="1" x14ac:dyDescent="0.4">
      <c r="B32" s="23" t="s">
        <v>158</v>
      </c>
      <c r="C32" s="34">
        <v>0</v>
      </c>
      <c r="D32" s="34">
        <v>6.0880000000000001</v>
      </c>
      <c r="E32" s="21">
        <f t="shared" si="102"/>
        <v>0</v>
      </c>
      <c r="M32" s="47">
        <f t="shared" si="76"/>
        <v>2049</v>
      </c>
      <c r="N32" s="21">
        <f t="shared" si="77"/>
        <v>0.87022236275497034</v>
      </c>
      <c r="O32" s="18">
        <f>LIT_FEC!B212*D$5/SUM(D$5:D$8)</f>
        <v>370.87653614313183</v>
      </c>
      <c r="P32" s="18">
        <f t="shared" si="1"/>
        <v>80.474711937480521</v>
      </c>
      <c r="Q32" s="18">
        <f t="shared" si="2"/>
        <v>136.6388301040439</v>
      </c>
      <c r="R32" s="21">
        <f t="shared" si="3"/>
        <v>0.58895931614902508</v>
      </c>
      <c r="S32" s="21">
        <f t="shared" si="78"/>
        <v>0.76749679894343226</v>
      </c>
      <c r="T32" s="18">
        <f>LIT_FEC!B212*D$6/SUM(D$5:D$8)</f>
        <v>25596.105344258645</v>
      </c>
      <c r="U32" s="18">
        <f t="shared" si="4"/>
        <v>7900.6349958324508</v>
      </c>
      <c r="V32" s="18">
        <f t="shared" si="5"/>
        <v>13884.319341960316</v>
      </c>
      <c r="W32" s="21">
        <f t="shared" si="6"/>
        <v>0.569032935734606</v>
      </c>
      <c r="X32" s="21">
        <f t="shared" si="79"/>
        <v>0</v>
      </c>
      <c r="Y32" s="18">
        <f>LIT_FEC!$B212*$D$7/SUM($D$5:$D$8)</f>
        <v>6.5987753187442078</v>
      </c>
      <c r="Z32" s="18">
        <f t="shared" si="7"/>
        <v>0</v>
      </c>
      <c r="AA32" s="18">
        <f t="shared" si="8"/>
        <v>6.5987753187442078</v>
      </c>
      <c r="AB32" s="21">
        <f t="shared" si="9"/>
        <v>0</v>
      </c>
      <c r="AC32" s="21">
        <f t="shared" si="80"/>
        <v>0</v>
      </c>
      <c r="AD32" s="18">
        <f>LIT_FEC!$B212*$D$8/SUM($D$5:$D$8)</f>
        <v>31.007090266641836</v>
      </c>
      <c r="AE32" s="18">
        <f t="shared" si="10"/>
        <v>0</v>
      </c>
      <c r="AF32" s="18">
        <f t="shared" si="11"/>
        <v>31.007090266641836</v>
      </c>
      <c r="AG32" s="21">
        <f t="shared" si="12"/>
        <v>0</v>
      </c>
      <c r="AH32" s="21">
        <f t="shared" si="13"/>
        <v>0.56770447439695848</v>
      </c>
      <c r="AI32" s="18">
        <f t="shared" si="14"/>
        <v>11946.023708337418</v>
      </c>
      <c r="AJ32" s="21">
        <f t="shared" si="15"/>
        <v>0.45938139166158637</v>
      </c>
      <c r="AK32" s="38"/>
      <c r="AL32" s="21">
        <f t="shared" si="81"/>
        <v>0.75340768083639409</v>
      </c>
      <c r="AM32" s="18">
        <f>LIT_FEC!$B159*$D$9/SUM($D$9:$D$13)</f>
        <v>16590.321442258817</v>
      </c>
      <c r="AN32" s="18">
        <f t="shared" si="16"/>
        <v>5234.1877965720678</v>
      </c>
      <c r="AO32" s="18">
        <f t="shared" si="17"/>
        <v>9517.0964412704816</v>
      </c>
      <c r="AP32" s="21">
        <f t="shared" si="18"/>
        <v>0.54997738321472045</v>
      </c>
      <c r="AQ32" s="21">
        <f t="shared" si="82"/>
        <v>1</v>
      </c>
      <c r="AR32" s="18">
        <f>LIT_FEC!$B159*$D$10/SUM($D$9:$D$13)</f>
        <v>34.669144489978393</v>
      </c>
      <c r="AS32" s="18">
        <f t="shared" si="19"/>
        <v>34.669144489978393</v>
      </c>
      <c r="AT32" s="18">
        <f t="shared" si="20"/>
        <v>34.669144489978393</v>
      </c>
      <c r="AU32" s="21">
        <f t="shared" si="21"/>
        <v>1</v>
      </c>
      <c r="AV32" s="18">
        <f t="shared" si="83"/>
        <v>0.76563592994519547</v>
      </c>
      <c r="AW32" s="18">
        <f>LIT_FEC!$B159*$D$11/SUM($D$9:$D$13)</f>
        <v>2997.096828465088</v>
      </c>
      <c r="AX32" s="65">
        <f t="shared" si="22"/>
        <v>1181.8370683307021</v>
      </c>
      <c r="AY32" s="18">
        <f t="shared" si="23"/>
        <v>2086.2491219011499</v>
      </c>
      <c r="AZ32" s="21">
        <f t="shared" si="24"/>
        <v>0.56648894704086039</v>
      </c>
      <c r="BA32" s="18">
        <f t="shared" si="84"/>
        <v>0.96942329019081164</v>
      </c>
      <c r="BB32" s="18">
        <f>LIT_FEC!$B159*$D$12/SUM($D$9:$D$13)</f>
        <v>1582.9455172974081</v>
      </c>
      <c r="BC32" s="18">
        <f t="shared" si="25"/>
        <v>1534.5442515712496</v>
      </c>
      <c r="BD32" s="18">
        <f t="shared" si="26"/>
        <v>1582.9455172974081</v>
      </c>
      <c r="BE32" s="21">
        <f t="shared" si="27"/>
        <v>0.96942329019081153</v>
      </c>
      <c r="BF32" s="18">
        <f t="shared" si="85"/>
        <v>1</v>
      </c>
      <c r="BG32" s="18">
        <f>LIT_FEC!$B159*$D$13/SUM($D$9:$D$13)</f>
        <v>4730.7048060193265</v>
      </c>
      <c r="BH32" s="18">
        <f t="shared" si="28"/>
        <v>4730.7048060193265</v>
      </c>
      <c r="BI32" s="18">
        <f t="shared" si="29"/>
        <v>4730.7048060193265</v>
      </c>
      <c r="BJ32" s="21">
        <f t="shared" si="30"/>
        <v>1</v>
      </c>
      <c r="BK32" s="21">
        <f t="shared" si="31"/>
        <v>0.70834337901470523</v>
      </c>
      <c r="BL32" s="18">
        <f t="shared" si="32"/>
        <v>7984.0727075522736</v>
      </c>
      <c r="BM32" s="21">
        <f t="shared" si="33"/>
        <v>0.30784058614577159</v>
      </c>
      <c r="BO32" s="21">
        <f t="shared" si="86"/>
        <v>1</v>
      </c>
      <c r="BP32" s="18">
        <f>LIT_FEC!$B106*$D$14/SUM($D$14:$D$26)</f>
        <v>16.969465902382222</v>
      </c>
      <c r="BQ32" s="18">
        <f t="shared" si="34"/>
        <v>16.969465902382225</v>
      </c>
      <c r="BR32" s="18">
        <f t="shared" si="35"/>
        <v>16.969465902382225</v>
      </c>
      <c r="BS32" s="21">
        <f t="shared" si="36"/>
        <v>1</v>
      </c>
      <c r="BT32" s="21">
        <f t="shared" si="87"/>
        <v>0.71447971329640647</v>
      </c>
      <c r="BU32" s="18">
        <f>LIT_FEC!$B106*$D$15/SUM($D$14:$D$26)</f>
        <v>2549.0358168229995</v>
      </c>
      <c r="BV32" s="18">
        <f t="shared" si="37"/>
        <v>1264.462741773084</v>
      </c>
      <c r="BW32" s="18">
        <f t="shared" si="38"/>
        <v>2079.3546097341227</v>
      </c>
      <c r="BX32" s="21">
        <f t="shared" si="39"/>
        <v>0.60810346434116158</v>
      </c>
      <c r="BY32" s="21">
        <f t="shared" si="88"/>
        <v>0.9226036991190647</v>
      </c>
      <c r="BZ32" s="18">
        <f>LIT_FEC!$B106*$D$16/SUM($D$14:$D$26)</f>
        <v>0</v>
      </c>
      <c r="CA32" s="18">
        <f t="shared" si="40"/>
        <v>0</v>
      </c>
      <c r="CB32" s="18">
        <f t="shared" si="41"/>
        <v>0</v>
      </c>
      <c r="CC32" s="21">
        <f t="shared" si="42"/>
        <v>0</v>
      </c>
      <c r="CD32" s="21">
        <f t="shared" si="89"/>
        <v>0.42106123685687996</v>
      </c>
      <c r="CE32" s="18">
        <f>LIT_FEC!$B106*$D$17/SUM($D$14:D$26)</f>
        <v>1512.2909409031502</v>
      </c>
      <c r="CF32" s="18">
        <f t="shared" si="43"/>
        <v>449.33588856070526</v>
      </c>
      <c r="CG32" s="18">
        <f t="shared" si="44"/>
        <v>1395.2558531418817</v>
      </c>
      <c r="CH32" s="21">
        <f t="shared" si="45"/>
        <v>0.32204551412479393</v>
      </c>
      <c r="CI32" s="21">
        <f t="shared" si="90"/>
        <v>0.87791409794861852</v>
      </c>
      <c r="CJ32" s="18">
        <f>LIT_FEC!$B106*$D$18/SUM($D$14:D$26)</f>
        <v>71.325788920241763</v>
      </c>
      <c r="CK32" s="18">
        <f t="shared" si="46"/>
        <v>55.607458510521667</v>
      </c>
      <c r="CL32" s="18">
        <f t="shared" si="47"/>
        <v>69.686561476429191</v>
      </c>
      <c r="CM32" s="21">
        <f t="shared" si="48"/>
        <v>0.79796530826578893</v>
      </c>
      <c r="CN32" s="21">
        <f t="shared" si="91"/>
        <v>0.94291009016144234</v>
      </c>
      <c r="CO32" s="18">
        <f>LIT_FEC!$B106*$D$19/SUM($D$14:D$26)</f>
        <v>324.33208300441123</v>
      </c>
      <c r="CP32" s="18">
        <f t="shared" si="49"/>
        <v>260.66675627158372</v>
      </c>
      <c r="CQ32" s="18">
        <f t="shared" si="50"/>
        <v>289.83950410728585</v>
      </c>
      <c r="CR32" s="21">
        <f t="shared" si="51"/>
        <v>0.8993486138973531</v>
      </c>
      <c r="CS32" s="18">
        <f t="shared" si="92"/>
        <v>0.92382023794390589</v>
      </c>
      <c r="CT32" s="18">
        <f>LIT_FEC!$B106*$D$20/SUM($D$14:D$26)</f>
        <v>119.62544783941026</v>
      </c>
      <c r="CU32" s="18">
        <f t="shared" si="52"/>
        <v>59.687178386316823</v>
      </c>
      <c r="CV32" s="18">
        <f t="shared" si="53"/>
        <v>73.486910814262984</v>
      </c>
      <c r="CW32" s="21">
        <f t="shared" si="54"/>
        <v>0.81221509687861604</v>
      </c>
      <c r="CX32" s="21">
        <f t="shared" si="93"/>
        <v>0.83593862990771139</v>
      </c>
      <c r="CY32" s="18">
        <f>LIT_FEC!$B106*$D$21/SUM($D$14:D$26)</f>
        <v>2025.9693375487843</v>
      </c>
      <c r="CZ32" s="18">
        <f t="shared" si="55"/>
        <v>1022.330962950244</v>
      </c>
      <c r="DA32" s="18">
        <f t="shared" si="56"/>
        <v>1523.9378168167259</v>
      </c>
      <c r="DB32" s="21">
        <f t="shared" si="57"/>
        <v>0.67084821419140173</v>
      </c>
      <c r="DC32" s="21">
        <f t="shared" si="94"/>
        <v>0.92011038318128346</v>
      </c>
      <c r="DD32" s="18">
        <f>LIT_FEC!$B106*$D$22/SUM($D$14:D$26)</f>
        <v>492.25043574671042</v>
      </c>
      <c r="DE32" s="18">
        <f t="shared" si="58"/>
        <v>281.61078951671556</v>
      </c>
      <c r="DF32" s="18">
        <f t="shared" si="59"/>
        <v>342.73872176741065</v>
      </c>
      <c r="DG32" s="21">
        <f t="shared" si="60"/>
        <v>0.82164859594657147</v>
      </c>
      <c r="DH32" s="21">
        <f t="shared" si="95"/>
        <v>0.56137631206146199</v>
      </c>
      <c r="DI32" s="18">
        <f>LIT_FEC!$B106*$D$23/SUM($D$14:D$26)</f>
        <v>1068.1324780750122</v>
      </c>
      <c r="DJ32" s="45">
        <f t="shared" si="61"/>
        <v>350.29740711948091</v>
      </c>
      <c r="DK32" s="18">
        <f t="shared" si="62"/>
        <v>1034.547602954392</v>
      </c>
      <c r="DL32" s="21">
        <f t="shared" si="63"/>
        <v>0.33859960249206994</v>
      </c>
      <c r="DM32" s="21">
        <f t="shared" si="96"/>
        <v>0.62786533013740198</v>
      </c>
      <c r="DN32" s="18">
        <f>LIT_FEC!$B106*$D$24/SUM($D$14:D$26)</f>
        <v>410.73368051265493</v>
      </c>
      <c r="DO32" s="18">
        <f t="shared" si="64"/>
        <v>139.31215127713023</v>
      </c>
      <c r="DP32" s="18">
        <f t="shared" si="65"/>
        <v>370.81700776889915</v>
      </c>
      <c r="DQ32" s="21">
        <f t="shared" si="66"/>
        <v>0.37568975629066198</v>
      </c>
      <c r="DR32" s="21">
        <f t="shared" si="97"/>
        <v>0.92565633643518541</v>
      </c>
      <c r="DS32" s="18">
        <f>LIT_FEC!$B106*$D$25/SUM($D$14:D$26)</f>
        <v>286.23098866737098</v>
      </c>
      <c r="DT32" s="18">
        <f t="shared" si="67"/>
        <v>188.45877524822916</v>
      </c>
      <c r="DU32" s="18">
        <f t="shared" si="68"/>
        <v>226.29872521510433</v>
      </c>
      <c r="DV32" s="21">
        <f t="shared" si="69"/>
        <v>0.83278761322713124</v>
      </c>
      <c r="DW32" s="21">
        <f t="shared" si="98"/>
        <v>0.80034794008597154</v>
      </c>
      <c r="DX32" s="18">
        <f>LIT_FEC!$B106*$D$26/SUM($D$14:D$26)</f>
        <v>720.32934424711186</v>
      </c>
      <c r="DY32" s="18">
        <f t="shared" si="70"/>
        <v>481.82101165877867</v>
      </c>
      <c r="DZ32" s="18">
        <f t="shared" si="71"/>
        <v>719.25258364395881</v>
      </c>
      <c r="EA32" s="21">
        <f t="shared" si="72"/>
        <v>0.66989124907653796</v>
      </c>
      <c r="EB32" s="21">
        <f t="shared" si="73"/>
        <v>0.56134322460311592</v>
      </c>
      <c r="EC32" s="18">
        <f t="shared" si="74"/>
        <v>1455.0404448473819</v>
      </c>
      <c r="ED32" s="21">
        <f t="shared" si="75"/>
        <v>0.15161052515880741</v>
      </c>
    </row>
    <row r="33" spans="1:134" ht="15" thickBot="1" x14ac:dyDescent="0.4">
      <c r="B33" s="23" t="s">
        <v>175</v>
      </c>
      <c r="C33" s="34">
        <v>0</v>
      </c>
      <c r="D33" s="34">
        <v>28.606999999999999</v>
      </c>
      <c r="E33" s="21">
        <f t="shared" si="102"/>
        <v>0</v>
      </c>
      <c r="M33" s="47">
        <f t="shared" si="76"/>
        <v>2050</v>
      </c>
      <c r="N33" s="21">
        <f t="shared" si="77"/>
        <v>0.87770271521098309</v>
      </c>
      <c r="O33" s="18">
        <f>LIT_FEC!B213*D$5/SUM(D$5:D$8)</f>
        <v>370.28439570200925</v>
      </c>
      <c r="P33" s="18">
        <f t="shared" si="1"/>
        <v>81.036875106475449</v>
      </c>
      <c r="Q33" s="18">
        <f t="shared" si="2"/>
        <v>133.87920389372528</v>
      </c>
      <c r="R33" s="21">
        <f t="shared" si="3"/>
        <v>0.60529845375240932</v>
      </c>
      <c r="S33" s="21">
        <f t="shared" si="78"/>
        <v>0.77566183224849594</v>
      </c>
      <c r="T33" s="18">
        <f>LIT_FEC!B213*D$6/SUM(D$5:D$8)</f>
        <v>25555.238673999091</v>
      </c>
      <c r="U33" s="18">
        <f t="shared" si="4"/>
        <v>7971.9377653013307</v>
      </c>
      <c r="V33" s="18">
        <f t="shared" si="5"/>
        <v>13736.269414398867</v>
      </c>
      <c r="W33" s="21">
        <f t="shared" si="6"/>
        <v>0.58035682941285716</v>
      </c>
      <c r="X33" s="21">
        <f t="shared" si="79"/>
        <v>0</v>
      </c>
      <c r="Y33" s="18">
        <f>LIT_FEC!$B213*$D$7/SUM($D$5:$D$8)</f>
        <v>6.5882397325118074</v>
      </c>
      <c r="Z33" s="18">
        <f t="shared" si="7"/>
        <v>0</v>
      </c>
      <c r="AA33" s="18">
        <f t="shared" si="8"/>
        <v>6.5882397325118074</v>
      </c>
      <c r="AB33" s="21">
        <f t="shared" si="9"/>
        <v>0</v>
      </c>
      <c r="AC33" s="21">
        <f t="shared" si="80"/>
        <v>0</v>
      </c>
      <c r="AD33" s="18">
        <f>LIT_FEC!$B213*$D$8/SUM($D$5:$D$8)</f>
        <v>30.95758443297721</v>
      </c>
      <c r="AE33" s="18">
        <f t="shared" si="10"/>
        <v>0</v>
      </c>
      <c r="AF33" s="18">
        <f t="shared" si="11"/>
        <v>30.95758443297721</v>
      </c>
      <c r="AG33" s="21">
        <f t="shared" si="12"/>
        <v>0</v>
      </c>
      <c r="AH33" s="21">
        <f t="shared" si="13"/>
        <v>0.57903016734558799</v>
      </c>
      <c r="AI33" s="18">
        <f t="shared" si="14"/>
        <v>12055.374451408508</v>
      </c>
      <c r="AJ33" s="21">
        <f t="shared" si="15"/>
        <v>0.4643277919374324</v>
      </c>
      <c r="AK33" s="38"/>
      <c r="AL33" s="21">
        <f t="shared" si="81"/>
        <v>0.76071421072850776</v>
      </c>
      <c r="AM33" s="18">
        <f>LIT_FEC!$B160*$D$9/SUM($D$9:$D$13)</f>
        <v>16600.718603217221</v>
      </c>
      <c r="AN33" s="18">
        <f t="shared" si="16"/>
        <v>5288.2609056870724</v>
      </c>
      <c r="AO33" s="18">
        <f t="shared" si="17"/>
        <v>9446.8715469917606</v>
      </c>
      <c r="AP33" s="21">
        <f t="shared" si="18"/>
        <v>0.55978964881459126</v>
      </c>
      <c r="AQ33" s="21">
        <f t="shared" si="82"/>
        <v>1</v>
      </c>
      <c r="AR33" s="18">
        <f>LIT_FEC!$B160*$D$10/SUM($D$9:$D$13)</f>
        <v>34.690871656435476</v>
      </c>
      <c r="AS33" s="18">
        <f t="shared" si="19"/>
        <v>34.690871656435476</v>
      </c>
      <c r="AT33" s="18">
        <f t="shared" si="20"/>
        <v>34.690871656435476</v>
      </c>
      <c r="AU33" s="21">
        <f t="shared" si="21"/>
        <v>1</v>
      </c>
      <c r="AV33" s="18">
        <f t="shared" si="83"/>
        <v>0.76987063743242623</v>
      </c>
      <c r="AW33" s="18">
        <f>LIT_FEC!$B160*$D$11/SUM($D$9:$D$13)</f>
        <v>2998.9751102236378</v>
      </c>
      <c r="AX33" s="65">
        <f t="shared" si="22"/>
        <v>1189.1185251190882</v>
      </c>
      <c r="AY33" s="18">
        <f t="shared" si="23"/>
        <v>2077.74537649374</v>
      </c>
      <c r="AZ33" s="21">
        <f t="shared" si="24"/>
        <v>0.5723119582274141</v>
      </c>
      <c r="BA33" s="18">
        <f t="shared" si="84"/>
        <v>0.97710437530968308</v>
      </c>
      <c r="BB33" s="18">
        <f>LIT_FEC!$B160*$D$12/SUM($D$9:$D$13)</f>
        <v>1583.9375498742938</v>
      </c>
      <c r="BC33" s="18">
        <f t="shared" si="25"/>
        <v>1547.6723101994719</v>
      </c>
      <c r="BD33" s="18">
        <f t="shared" si="26"/>
        <v>1583.9375498742938</v>
      </c>
      <c r="BE33" s="21">
        <f t="shared" si="27"/>
        <v>0.97710437530968308</v>
      </c>
      <c r="BF33" s="18">
        <f t="shared" si="85"/>
        <v>1</v>
      </c>
      <c r="BG33" s="18">
        <f>LIT_FEC!$B160*$D$13/SUM($D$9:$D$13)</f>
        <v>4733.66954057773</v>
      </c>
      <c r="BH33" s="18">
        <f t="shared" si="28"/>
        <v>4733.66954057773</v>
      </c>
      <c r="BI33" s="18">
        <f t="shared" si="29"/>
        <v>4733.66954057773</v>
      </c>
      <c r="BJ33" s="21">
        <f t="shared" si="30"/>
        <v>1</v>
      </c>
      <c r="BK33" s="21">
        <f t="shared" si="31"/>
        <v>0.7156387013706329</v>
      </c>
      <c r="BL33" s="18">
        <f t="shared" si="32"/>
        <v>8075.0767899553575</v>
      </c>
      <c r="BM33" s="21">
        <f t="shared" si="33"/>
        <v>0.3111544150795677</v>
      </c>
      <c r="BO33" s="21">
        <f t="shared" si="86"/>
        <v>1</v>
      </c>
      <c r="BP33" s="18">
        <f>LIT_FEC!$B107*$D$14/SUM($D$14:$D$26)</f>
        <v>16.91213210138481</v>
      </c>
      <c r="BQ33" s="18">
        <f t="shared" si="34"/>
        <v>16.912132101384813</v>
      </c>
      <c r="BR33" s="18">
        <f t="shared" si="35"/>
        <v>16.912132101384813</v>
      </c>
      <c r="BS33" s="21">
        <f t="shared" si="36"/>
        <v>1</v>
      </c>
      <c r="BT33" s="21">
        <f t="shared" si="87"/>
        <v>0.7191426662451581</v>
      </c>
      <c r="BU33" s="18">
        <f>LIT_FEC!$B107*$D$15/SUM($D$14:$D$26)</f>
        <v>2540.4235297246478</v>
      </c>
      <c r="BV33" s="18">
        <f t="shared" si="37"/>
        <v>1268.4150303856127</v>
      </c>
      <c r="BW33" s="18">
        <f t="shared" si="38"/>
        <v>2067.2902873349408</v>
      </c>
      <c r="BX33" s="21">
        <f t="shared" si="39"/>
        <v>0.61356406410673814</v>
      </c>
      <c r="BY33" s="21">
        <f t="shared" si="88"/>
        <v>0.93253530323549017</v>
      </c>
      <c r="BZ33" s="18">
        <f>LIT_FEC!$B107*$D$16/SUM($D$14:$D$26)</f>
        <v>0</v>
      </c>
      <c r="CA33" s="18">
        <f t="shared" si="40"/>
        <v>0</v>
      </c>
      <c r="CB33" s="18">
        <f t="shared" si="41"/>
        <v>0</v>
      </c>
      <c r="CC33" s="21">
        <f t="shared" si="42"/>
        <v>0</v>
      </c>
      <c r="CD33" s="21">
        <f t="shared" si="89"/>
        <v>0.42328424047390389</v>
      </c>
      <c r="CE33" s="18">
        <f>LIT_FEC!$B107*$D$17/SUM($D$14:D$26)</f>
        <v>1507.181446688382</v>
      </c>
      <c r="CF33" s="18">
        <f t="shared" si="43"/>
        <v>450.18200738472984</v>
      </c>
      <c r="CG33" s="18">
        <f t="shared" si="44"/>
        <v>1389.2861813251789</v>
      </c>
      <c r="CH33" s="21">
        <f t="shared" si="45"/>
        <v>0.32403835396629443</v>
      </c>
      <c r="CI33" s="21">
        <f t="shared" si="90"/>
        <v>0.87825356688131728</v>
      </c>
      <c r="CJ33" s="18">
        <f>LIT_FEC!$B107*$D$18/SUM($D$14:D$26)</f>
        <v>71.084804400666371</v>
      </c>
      <c r="CK33" s="18">
        <f t="shared" si="46"/>
        <v>55.441010110242551</v>
      </c>
      <c r="CL33" s="18">
        <f t="shared" si="47"/>
        <v>69.433529059435884</v>
      </c>
      <c r="CM33" s="21">
        <f t="shared" si="48"/>
        <v>0.79847605128617938</v>
      </c>
      <c r="CN33" s="21">
        <f t="shared" si="91"/>
        <v>0.94449315735051542</v>
      </c>
      <c r="CO33" s="18">
        <f>LIT_FEC!$B107*$D$19/SUM($D$14:D$26)</f>
        <v>323.23628003624356</v>
      </c>
      <c r="CP33" s="18">
        <f t="shared" si="49"/>
        <v>260.22221490352905</v>
      </c>
      <c r="CQ33" s="18">
        <f t="shared" si="50"/>
        <v>288.49018961220924</v>
      </c>
      <c r="CR33" s="21">
        <f t="shared" si="51"/>
        <v>0.90201408669501648</v>
      </c>
      <c r="CS33" s="18">
        <f t="shared" si="92"/>
        <v>0.92808211502451599</v>
      </c>
      <c r="CT33" s="18">
        <f>LIT_FEC!$B107*$D$20/SUM($D$14:D$26)</f>
        <v>119.22127591908551</v>
      </c>
      <c r="CU33" s="18">
        <f t="shared" si="52"/>
        <v>59.759942239707101</v>
      </c>
      <c r="CV33" s="18">
        <f t="shared" si="53"/>
        <v>72.743632589203074</v>
      </c>
      <c r="CW33" s="21">
        <f t="shared" si="54"/>
        <v>0.82151440768957329</v>
      </c>
      <c r="CX33" s="21">
        <f t="shared" si="93"/>
        <v>0.83888458970423319</v>
      </c>
      <c r="CY33" s="18">
        <f>LIT_FEC!$B107*$D$21/SUM($D$14:D$26)</f>
        <v>2019.1243063914055</v>
      </c>
      <c r="CZ33" s="18">
        <f t="shared" si="55"/>
        <v>1022.4675282390368</v>
      </c>
      <c r="DA33" s="18">
        <f t="shared" si="56"/>
        <v>1513.4029839267255</v>
      </c>
      <c r="DB33" s="21">
        <f t="shared" si="57"/>
        <v>0.67560824122740182</v>
      </c>
      <c r="DC33" s="21">
        <f t="shared" si="94"/>
        <v>0.92361611597250526</v>
      </c>
      <c r="DD33" s="18">
        <f>LIT_FEC!$B107*$D$22/SUM($D$14:D$26)</f>
        <v>490.58729627689195</v>
      </c>
      <c r="DE33" s="18">
        <f t="shared" si="58"/>
        <v>281.72867290101345</v>
      </c>
      <c r="DF33" s="18">
        <f t="shared" si="59"/>
        <v>339.97670989913468</v>
      </c>
      <c r="DG33" s="21">
        <f t="shared" si="60"/>
        <v>0.82867050800214392</v>
      </c>
      <c r="DH33" s="21">
        <f t="shared" si="95"/>
        <v>0.56176256682406689</v>
      </c>
      <c r="DI33" s="18">
        <f>LIT_FEC!$B107*$D$23/SUM($D$14:D$26)</f>
        <v>1064.5236376265789</v>
      </c>
      <c r="DJ33" s="45">
        <f t="shared" si="61"/>
        <v>349.35408421184616</v>
      </c>
      <c r="DK33" s="18">
        <f t="shared" si="62"/>
        <v>1030.691922366859</v>
      </c>
      <c r="DL33" s="21">
        <f t="shared" si="63"/>
        <v>0.33895102564653545</v>
      </c>
      <c r="DM33" s="21">
        <f t="shared" si="96"/>
        <v>0.62893897960800682</v>
      </c>
      <c r="DN33" s="18">
        <f>LIT_FEC!$B107*$D$24/SUM($D$14:D$26)</f>
        <v>409.34595721971726</v>
      </c>
      <c r="DO33" s="18">
        <f t="shared" si="64"/>
        <v>139.07888382598179</v>
      </c>
      <c r="DP33" s="18">
        <f t="shared" si="65"/>
        <v>369.13590726324065</v>
      </c>
      <c r="DQ33" s="21">
        <f t="shared" si="66"/>
        <v>0.37676877564446998</v>
      </c>
      <c r="DR33" s="21">
        <f t="shared" si="97"/>
        <v>0.92776888666116919</v>
      </c>
      <c r="DS33" s="18">
        <f>LIT_FEC!$B107*$D$25/SUM($D$14:D$26)</f>
        <v>285.26391577079596</v>
      </c>
      <c r="DT33" s="18">
        <f t="shared" si="67"/>
        <v>188.25069092789471</v>
      </c>
      <c r="DU33" s="18">
        <f t="shared" si="68"/>
        <v>224.89116569489329</v>
      </c>
      <c r="DV33" s="21">
        <f t="shared" si="69"/>
        <v>0.83707463717490704</v>
      </c>
      <c r="DW33" s="21">
        <f t="shared" si="98"/>
        <v>0.8003676792248694</v>
      </c>
      <c r="DX33" s="18">
        <f>LIT_FEC!$B107*$D$26/SUM($D$14:D$26)</f>
        <v>717.89560711518106</v>
      </c>
      <c r="DY33" s="18">
        <f t="shared" si="70"/>
        <v>480.20495260767763</v>
      </c>
      <c r="DZ33" s="18">
        <f t="shared" si="71"/>
        <v>716.81093260030116</v>
      </c>
      <c r="EA33" s="21">
        <f t="shared" si="72"/>
        <v>0.66991856676304806</v>
      </c>
      <c r="EB33" s="21">
        <f t="shared" si="73"/>
        <v>0.56451168448911171</v>
      </c>
      <c r="EC33" s="18">
        <f t="shared" si="74"/>
        <v>1465.734615497473</v>
      </c>
      <c r="ED33" s="21">
        <f t="shared" si="75"/>
        <v>0.15324257553666576</v>
      </c>
    </row>
    <row r="34" spans="1:134" ht="15" thickBot="1" x14ac:dyDescent="0.4">
      <c r="B34" s="23" t="s">
        <v>159</v>
      </c>
      <c r="C34" s="18">
        <f>1065.24*0.27778</f>
        <v>295.90236720000001</v>
      </c>
      <c r="D34" s="18">
        <f>43329.677*0.27778</f>
        <v>12036.117677060001</v>
      </c>
      <c r="E34" s="21">
        <f t="shared" si="102"/>
        <v>2.4584535905956554E-2</v>
      </c>
      <c r="M34" s="47">
        <f t="shared" si="76"/>
        <v>2051</v>
      </c>
      <c r="N34" s="21">
        <f t="shared" si="77"/>
        <v>0.88334897778823862</v>
      </c>
      <c r="O34" s="18">
        <f>LIT_FEC!B214*D$5/SUM(D$5:D$8)</f>
        <v>369.6144837855586</v>
      </c>
      <c r="P34" s="18">
        <f t="shared" si="1"/>
        <v>81.410631804661321</v>
      </c>
      <c r="Q34" s="18">
        <f t="shared" si="2"/>
        <v>131.72213037096068</v>
      </c>
      <c r="R34" s="21">
        <f t="shared" si="3"/>
        <v>0.61804824728684327</v>
      </c>
      <c r="S34" s="21">
        <f t="shared" si="78"/>
        <v>0.7818249004011697</v>
      </c>
      <c r="T34" s="18">
        <f>LIT_FEC!B214*D$6/SUM(D$5:D$8)</f>
        <v>25509.00459253585</v>
      </c>
      <c r="U34" s="18">
        <f t="shared" si="4"/>
        <v>8020.7419967393216</v>
      </c>
      <c r="V34" s="18">
        <f t="shared" si="5"/>
        <v>13616.57241621807</v>
      </c>
      <c r="W34" s="21">
        <f t="shared" si="6"/>
        <v>0.58904265710702541</v>
      </c>
      <c r="X34" s="21">
        <f t="shared" si="79"/>
        <v>0</v>
      </c>
      <c r="Y34" s="18">
        <f>LIT_FEC!$B214*$D$7/SUM($D$5:$D$8)</f>
        <v>6.576320406835455</v>
      </c>
      <c r="Z34" s="18">
        <f t="shared" si="7"/>
        <v>0</v>
      </c>
      <c r="AA34" s="18">
        <f t="shared" si="8"/>
        <v>6.576320406835455</v>
      </c>
      <c r="AB34" s="21">
        <f t="shared" si="9"/>
        <v>0</v>
      </c>
      <c r="AC34" s="21">
        <f t="shared" si="80"/>
        <v>0</v>
      </c>
      <c r="AD34" s="18">
        <f>LIT_FEC!$B214*$D$8/SUM($D$5:$D$8)</f>
        <v>30.901576524037761</v>
      </c>
      <c r="AE34" s="18">
        <f t="shared" si="10"/>
        <v>0</v>
      </c>
      <c r="AF34" s="18">
        <f t="shared" si="11"/>
        <v>30.901576524037761</v>
      </c>
      <c r="AG34" s="21">
        <f t="shared" si="12"/>
        <v>0</v>
      </c>
      <c r="AH34" s="21">
        <f t="shared" si="13"/>
        <v>0.58771843665187251</v>
      </c>
      <c r="AI34" s="18">
        <f t="shared" si="14"/>
        <v>12130.324529732374</v>
      </c>
      <c r="AJ34" s="21">
        <f t="shared" si="15"/>
        <v>0.46806139606021496</v>
      </c>
      <c r="AK34" s="68">
        <f>SUM(AF34,AA34,V34,Q34)/SUM(O34,Y34,T34,AD34)</f>
        <v>0.53193860393978498</v>
      </c>
      <c r="AL34" s="21">
        <f t="shared" si="81"/>
        <v>0.76622926988408013</v>
      </c>
      <c r="AM34" s="18">
        <f>LIT_FEC!$B161*$D$9/SUM($D$9:$D$13)</f>
        <v>16607.585358650605</v>
      </c>
      <c r="AN34" s="18">
        <f t="shared" si="16"/>
        <v>5328.8032766712186</v>
      </c>
      <c r="AO34" s="18">
        <f t="shared" si="17"/>
        <v>9393.2467846175969</v>
      </c>
      <c r="AP34" s="21">
        <f t="shared" si="18"/>
        <v>0.56730153043542719</v>
      </c>
      <c r="AQ34" s="21">
        <f t="shared" si="82"/>
        <v>1</v>
      </c>
      <c r="AR34" s="18">
        <f>LIT_FEC!$B161*$D$10/SUM($D$9:$D$13)</f>
        <v>34.705221260035742</v>
      </c>
      <c r="AS34" s="18">
        <f t="shared" si="19"/>
        <v>34.705221260035742</v>
      </c>
      <c r="AT34" s="18">
        <f t="shared" si="20"/>
        <v>34.705221260035742</v>
      </c>
      <c r="AU34" s="21">
        <f t="shared" si="21"/>
        <v>1</v>
      </c>
      <c r="AV34" s="18">
        <f t="shared" si="83"/>
        <v>0.7730670470336285</v>
      </c>
      <c r="AW34" s="18">
        <f>LIT_FEC!$B161*$D$11/SUM($D$9:$D$13)</f>
        <v>3000.2156124648318</v>
      </c>
      <c r="AX34" s="65">
        <f t="shared" si="22"/>
        <v>1194.5495127676957</v>
      </c>
      <c r="AY34" s="18">
        <f t="shared" si="23"/>
        <v>2071.1961420513308</v>
      </c>
      <c r="AZ34" s="21">
        <f t="shared" si="24"/>
        <v>0.5767437899843727</v>
      </c>
      <c r="BA34" s="18">
        <f t="shared" si="84"/>
        <v>0.98290215338423614</v>
      </c>
      <c r="BB34" s="18">
        <f>LIT_FEC!$B161*$D$12/SUM($D$9:$D$13)</f>
        <v>1584.5927330646548</v>
      </c>
      <c r="BC34" s="18">
        <f t="shared" si="25"/>
        <v>1557.4996095662614</v>
      </c>
      <c r="BD34" s="18">
        <f t="shared" si="26"/>
        <v>1584.5927330646548</v>
      </c>
      <c r="BE34" s="21">
        <f t="shared" si="27"/>
        <v>0.98290215338423614</v>
      </c>
      <c r="BF34" s="18">
        <f t="shared" si="85"/>
        <v>1</v>
      </c>
      <c r="BG34" s="18">
        <f>LIT_FEC!$B161*$D$13/SUM($D$9:$D$13)</f>
        <v>4735.6275853958214</v>
      </c>
      <c r="BH34" s="18">
        <f t="shared" si="28"/>
        <v>4735.6275853958214</v>
      </c>
      <c r="BI34" s="18">
        <f t="shared" si="29"/>
        <v>4735.6275853958214</v>
      </c>
      <c r="BJ34" s="21">
        <f t="shared" si="30"/>
        <v>1</v>
      </c>
      <c r="BK34" s="21">
        <f t="shared" si="31"/>
        <v>0.72119195637604672</v>
      </c>
      <c r="BL34" s="18">
        <f t="shared" si="32"/>
        <v>8143.3580444465115</v>
      </c>
      <c r="BM34" s="21">
        <f t="shared" si="33"/>
        <v>0.31365573415595444</v>
      </c>
      <c r="BO34" s="21">
        <f t="shared" si="86"/>
        <v>1</v>
      </c>
      <c r="BP34" s="18">
        <f>LIT_FEC!$B108*$D$14/SUM($D$14:$D$26)</f>
        <v>16.851403163580887</v>
      </c>
      <c r="BQ34" s="18">
        <f t="shared" si="34"/>
        <v>16.851403163580891</v>
      </c>
      <c r="BR34" s="18">
        <f t="shared" si="35"/>
        <v>16.851403163580891</v>
      </c>
      <c r="BS34" s="21">
        <f t="shared" si="36"/>
        <v>1</v>
      </c>
      <c r="BT34" s="21">
        <f t="shared" si="87"/>
        <v>0.7226623208187708</v>
      </c>
      <c r="BU34" s="18">
        <f>LIT_FEC!$B108*$D$15/SUM($D$14:$D$26)</f>
        <v>2531.3012486540288</v>
      </c>
      <c r="BV34" s="18">
        <f t="shared" si="37"/>
        <v>1270.0459735759462</v>
      </c>
      <c r="BW34" s="18">
        <f t="shared" si="38"/>
        <v>2056.0771744023532</v>
      </c>
      <c r="BX34" s="21">
        <f t="shared" si="39"/>
        <v>0.61770345461138376</v>
      </c>
      <c r="BY34" s="21">
        <f t="shared" si="88"/>
        <v>0.94003180089177596</v>
      </c>
      <c r="BZ34" s="18">
        <f>LIT_FEC!$B108*$D$16/SUM($D$14:$D$26)</f>
        <v>0</v>
      </c>
      <c r="CA34" s="18">
        <f t="shared" si="40"/>
        <v>0</v>
      </c>
      <c r="CB34" s="18">
        <f t="shared" si="41"/>
        <v>0</v>
      </c>
      <c r="CC34" s="21">
        <f t="shared" si="42"/>
        <v>0</v>
      </c>
      <c r="CD34" s="21">
        <f t="shared" si="89"/>
        <v>0.42496219110600514</v>
      </c>
      <c r="CE34" s="18">
        <f>LIT_FEC!$B108*$D$17/SUM($D$14:D$26)</f>
        <v>1501.7693834555228</v>
      </c>
      <c r="CF34" s="18">
        <f t="shared" si="43"/>
        <v>450.34363963425716</v>
      </c>
      <c r="CG34" s="18">
        <f t="shared" si="44"/>
        <v>1383.3531249446989</v>
      </c>
      <c r="CH34" s="21">
        <f t="shared" si="45"/>
        <v>0.32554496137944544</v>
      </c>
      <c r="CI34" s="21">
        <f t="shared" si="90"/>
        <v>0.8785098022314709</v>
      </c>
      <c r="CJ34" s="18">
        <f>LIT_FEC!$B108*$D$18/SUM($D$14:D$26)</f>
        <v>70.829549496117778</v>
      </c>
      <c r="CK34" s="18">
        <f t="shared" si="46"/>
        <v>55.258046871498763</v>
      </c>
      <c r="CL34" s="18">
        <f t="shared" si="47"/>
        <v>69.170976973486773</v>
      </c>
      <c r="CM34" s="21">
        <f t="shared" si="48"/>
        <v>0.79886173781641345</v>
      </c>
      <c r="CN34" s="21">
        <f t="shared" si="91"/>
        <v>0.9456880760498021</v>
      </c>
      <c r="CO34" s="18">
        <f>LIT_FEC!$B108*$D$19/SUM($D$14:D$26)</f>
        <v>322.07558688244035</v>
      </c>
      <c r="CP34" s="18">
        <f t="shared" si="49"/>
        <v>259.61583191922125</v>
      </c>
      <c r="CQ34" s="18">
        <f t="shared" si="50"/>
        <v>287.17594936758974</v>
      </c>
      <c r="CR34" s="21">
        <f t="shared" si="51"/>
        <v>0.90403055162153878</v>
      </c>
      <c r="CS34" s="18">
        <f t="shared" si="92"/>
        <v>0.93129903257093039</v>
      </c>
      <c r="CT34" s="18">
        <f>LIT_FEC!$B108*$D$20/SUM($D$14:D$26)</f>
        <v>118.79317014230993</v>
      </c>
      <c r="CU34" s="18">
        <f t="shared" si="52"/>
        <v>59.751749281637707</v>
      </c>
      <c r="CV34" s="18">
        <f t="shared" si="53"/>
        <v>72.110136599191748</v>
      </c>
      <c r="CW34" s="21">
        <f t="shared" si="54"/>
        <v>0.82861789062686975</v>
      </c>
      <c r="CX34" s="21">
        <f t="shared" si="93"/>
        <v>0.84110823660469869</v>
      </c>
      <c r="CY34" s="18">
        <f>LIT_FEC!$B108*$D$21/SUM($D$14:D$26)</f>
        <v>2011.8739328911186</v>
      </c>
      <c r="CZ34" s="18">
        <f t="shared" si="55"/>
        <v>1021.4965416211195</v>
      </c>
      <c r="DA34" s="18">
        <f t="shared" si="56"/>
        <v>1503.9177679770985</v>
      </c>
      <c r="DB34" s="21">
        <f t="shared" si="57"/>
        <v>0.67922366725883032</v>
      </c>
      <c r="DC34" s="21">
        <f t="shared" si="94"/>
        <v>0.92626228645462239</v>
      </c>
      <c r="DD34" s="18">
        <f>LIT_FEC!$B108*$D$22/SUM($D$14:D$26)</f>
        <v>488.8256706448077</v>
      </c>
      <c r="DE34" s="18">
        <f t="shared" si="58"/>
        <v>281.52128477541743</v>
      </c>
      <c r="DF34" s="18">
        <f t="shared" si="59"/>
        <v>337.5495182392695</v>
      </c>
      <c r="DG34" s="21">
        <f t="shared" si="60"/>
        <v>0.83401477283656833</v>
      </c>
      <c r="DH34" s="21">
        <f t="shared" si="95"/>
        <v>0.56205411669744609</v>
      </c>
      <c r="DI34" s="18">
        <f>LIT_FEC!$B108*$D$23/SUM($D$14:D$26)</f>
        <v>1060.7010924032631</v>
      </c>
      <c r="DJ34" s="45">
        <f t="shared" si="61"/>
        <v>348.28026658808568</v>
      </c>
      <c r="DK34" s="18">
        <f t="shared" si="62"/>
        <v>1026.7198707849268</v>
      </c>
      <c r="DL34" s="21">
        <f t="shared" si="63"/>
        <v>0.33921644695726555</v>
      </c>
      <c r="DM34" s="21">
        <f t="shared" si="96"/>
        <v>0.62974938351111343</v>
      </c>
      <c r="DN34" s="18">
        <f>LIT_FEC!$B108*$D$24/SUM($D$14:D$26)</f>
        <v>407.87605708960604</v>
      </c>
      <c r="DO34" s="18">
        <f t="shared" si="64"/>
        <v>138.75803552984965</v>
      </c>
      <c r="DP34" s="18">
        <f t="shared" si="65"/>
        <v>367.48831415768819</v>
      </c>
      <c r="DQ34" s="21">
        <f t="shared" si="66"/>
        <v>0.37758489231934861</v>
      </c>
      <c r="DR34" s="21">
        <f t="shared" si="97"/>
        <v>0.92936346570723494</v>
      </c>
      <c r="DS34" s="18">
        <f>LIT_FEC!$B108*$D$25/SUM($D$14:D$26)</f>
        <v>284.23957569973362</v>
      </c>
      <c r="DT34" s="18">
        <f t="shared" si="67"/>
        <v>187.8971000795689</v>
      </c>
      <c r="DU34" s="18">
        <f t="shared" si="68"/>
        <v>223.60003128738606</v>
      </c>
      <c r="DV34" s="21">
        <f t="shared" si="69"/>
        <v>0.84032680584946207</v>
      </c>
      <c r="DW34" s="21">
        <f t="shared" si="98"/>
        <v>0.80038257857111295</v>
      </c>
      <c r="DX34" s="18">
        <f>LIT_FEC!$B108*$D$26/SUM($D$14:D$26)</f>
        <v>715.31775132427003</v>
      </c>
      <c r="DY34" s="18">
        <f t="shared" si="70"/>
        <v>478.48951563599275</v>
      </c>
      <c r="DZ34" s="18">
        <f t="shared" si="71"/>
        <v>714.22828350418058</v>
      </c>
      <c r="EA34" s="21">
        <f t="shared" si="72"/>
        <v>0.66993918707392108</v>
      </c>
      <c r="EB34" s="21">
        <f t="shared" si="73"/>
        <v>0.56691137795072655</v>
      </c>
      <c r="EC34" s="18">
        <f t="shared" si="74"/>
        <v>1472.2118704453496</v>
      </c>
      <c r="ED34" s="21">
        <f t="shared" si="75"/>
        <v>0.15447446735284487</v>
      </c>
    </row>
    <row r="35" spans="1:134" x14ac:dyDescent="0.35">
      <c r="B35" s="23" t="s">
        <v>160</v>
      </c>
      <c r="C35" s="34">
        <v>0</v>
      </c>
      <c r="D35" s="34">
        <v>0</v>
      </c>
      <c r="E35" s="21">
        <f t="shared" si="102"/>
        <v>0</v>
      </c>
    </row>
    <row r="36" spans="1:134" x14ac:dyDescent="0.35">
      <c r="B36" s="23" t="s">
        <v>161</v>
      </c>
      <c r="C36" s="18">
        <f>883.8*0.27778</f>
        <v>245.50196400000002</v>
      </c>
      <c r="D36" s="18">
        <f>7387.614*0.27778</f>
        <v>2052.13141692</v>
      </c>
      <c r="E36" s="21">
        <f t="shared" si="102"/>
        <v>0.11963267165826477</v>
      </c>
      <c r="W36" s="21">
        <f>V25/T25</f>
        <v>0.64653285193954879</v>
      </c>
    </row>
    <row r="37" spans="1:134" ht="15" thickBot="1" x14ac:dyDescent="0.4">
      <c r="B37" s="23" t="s">
        <v>162</v>
      </c>
      <c r="C37" s="18">
        <f>849.6*0.27778</f>
        <v>236.00188800000004</v>
      </c>
      <c r="D37" s="18">
        <f>4848.87*0.27778</f>
        <v>1346.9191086000001</v>
      </c>
      <c r="E37" s="21">
        <f t="shared" si="102"/>
        <v>0.17521608127254393</v>
      </c>
      <c r="W37" s="21">
        <f>V34/T34</f>
        <v>0.53379473772968755</v>
      </c>
    </row>
    <row r="38" spans="1:134" x14ac:dyDescent="0.35">
      <c r="B38" s="23" t="s">
        <v>179</v>
      </c>
      <c r="C38" s="18">
        <f>8531.64*0.27778</f>
        <v>2369.9189592000002</v>
      </c>
      <c r="D38" s="18">
        <f>8531.64*0.27778</f>
        <v>2369.9189592000002</v>
      </c>
      <c r="E38" s="21">
        <f t="shared" si="102"/>
        <v>1</v>
      </c>
      <c r="F38" s="7"/>
    </row>
    <row r="39" spans="1:134" x14ac:dyDescent="0.35">
      <c r="B39" s="31" t="s">
        <v>31</v>
      </c>
      <c r="C39" s="34">
        <v>20.100000000000001</v>
      </c>
      <c r="D39" s="34">
        <v>20.100000000000001</v>
      </c>
      <c r="E39" s="21">
        <f t="shared" si="102"/>
        <v>1</v>
      </c>
      <c r="F39" s="7"/>
    </row>
    <row r="40" spans="1:134" x14ac:dyDescent="0.35">
      <c r="B40" s="31" t="s">
        <v>33</v>
      </c>
      <c r="C40" s="34">
        <v>589.70000000000005</v>
      </c>
      <c r="D40" s="34">
        <v>3019.2829999999999</v>
      </c>
      <c r="E40" s="21">
        <f t="shared" si="102"/>
        <v>0.19531127092094383</v>
      </c>
      <c r="F40" s="7"/>
    </row>
    <row r="41" spans="1:134" x14ac:dyDescent="0.35">
      <c r="B41" s="31" t="s">
        <v>34</v>
      </c>
      <c r="C41" s="34">
        <v>0</v>
      </c>
      <c r="D41" s="34">
        <v>0</v>
      </c>
      <c r="E41" s="21">
        <f t="shared" si="102"/>
        <v>0</v>
      </c>
      <c r="F41" s="7"/>
    </row>
    <row r="42" spans="1:134" ht="15" thickBot="1" x14ac:dyDescent="0.4">
      <c r="B42" s="31" t="s">
        <v>164</v>
      </c>
      <c r="C42" s="34">
        <v>271.2</v>
      </c>
      <c r="D42" s="34">
        <v>1791.279</v>
      </c>
      <c r="E42" s="21">
        <f t="shared" si="102"/>
        <v>0.15140020063876147</v>
      </c>
    </row>
    <row r="43" spans="1:134" ht="15" thickBot="1" x14ac:dyDescent="0.4">
      <c r="B43" s="31" t="s">
        <v>36</v>
      </c>
      <c r="C43" s="34">
        <v>63.5</v>
      </c>
      <c r="D43" s="34">
        <v>84.483999999999995</v>
      </c>
      <c r="E43" s="21">
        <f t="shared" si="102"/>
        <v>0.75162160882533979</v>
      </c>
    </row>
    <row r="44" spans="1:134" x14ac:dyDescent="0.35">
      <c r="A44" s="7"/>
      <c r="B44" s="31" t="s">
        <v>37</v>
      </c>
      <c r="C44" s="34">
        <v>260.60000000000002</v>
      </c>
      <c r="D44" s="34">
        <v>384.16500000000002</v>
      </c>
      <c r="E44" s="21">
        <f t="shared" si="102"/>
        <v>0.67835435294730129</v>
      </c>
    </row>
    <row r="45" spans="1:134" ht="15" thickBot="1" x14ac:dyDescent="0.4">
      <c r="B45" s="31" t="s">
        <v>38</v>
      </c>
      <c r="C45" s="34">
        <v>40.4</v>
      </c>
      <c r="D45" s="34">
        <v>141.69399999999999</v>
      </c>
      <c r="E45" s="21">
        <f t="shared" si="102"/>
        <v>0.28512145891851454</v>
      </c>
    </row>
    <row r="46" spans="1:134" x14ac:dyDescent="0.35">
      <c r="B46" s="31" t="s">
        <v>40</v>
      </c>
      <c r="C46" s="34">
        <v>814.5</v>
      </c>
      <c r="D46" s="34">
        <v>2399.721</v>
      </c>
      <c r="E46" s="21">
        <f t="shared" si="102"/>
        <v>0.33941445693061817</v>
      </c>
    </row>
    <row r="47" spans="1:134" x14ac:dyDescent="0.35">
      <c r="B47" s="31" t="s">
        <v>41</v>
      </c>
      <c r="C47" s="34">
        <v>215.5</v>
      </c>
      <c r="D47" s="34">
        <v>583.06100000000004</v>
      </c>
      <c r="E47" s="21">
        <f t="shared" si="102"/>
        <v>0.36960112235254972</v>
      </c>
    </row>
    <row r="48" spans="1:134" x14ac:dyDescent="0.35">
      <c r="B48" s="31" t="s">
        <v>42</v>
      </c>
      <c r="C48" s="34">
        <v>388.4</v>
      </c>
      <c r="D48" s="34">
        <v>1265.182</v>
      </c>
      <c r="E48" s="21">
        <f t="shared" si="102"/>
        <v>0.30699140518913481</v>
      </c>
    </row>
    <row r="49" spans="1:7" x14ac:dyDescent="0.35">
      <c r="B49" s="31" t="s">
        <v>43</v>
      </c>
      <c r="C49" s="34">
        <v>138.80000000000001</v>
      </c>
      <c r="D49" s="34">
        <v>486.50599999999997</v>
      </c>
      <c r="E49" s="21">
        <f t="shared" si="102"/>
        <v>0.28529966742445112</v>
      </c>
    </row>
    <row r="50" spans="1:7" ht="15" thickBot="1" x14ac:dyDescent="0.4">
      <c r="B50" s="31" t="s">
        <v>44</v>
      </c>
      <c r="C50" s="34">
        <v>175.9</v>
      </c>
      <c r="D50" s="34">
        <v>339.03500000000003</v>
      </c>
      <c r="E50" s="21">
        <f t="shared" si="102"/>
        <v>0.51882548999365841</v>
      </c>
    </row>
    <row r="51" spans="1:7" x14ac:dyDescent="0.35">
      <c r="B51" s="31" t="s">
        <v>45</v>
      </c>
      <c r="C51" s="34">
        <v>569.4</v>
      </c>
      <c r="D51" s="34">
        <v>853.21600000000001</v>
      </c>
      <c r="E51" s="21">
        <f t="shared" si="102"/>
        <v>0.66735738664066302</v>
      </c>
    </row>
    <row r="53" spans="1:7" ht="45" customHeight="1" x14ac:dyDescent="0.35">
      <c r="A53" s="60" t="s">
        <v>685</v>
      </c>
      <c r="B53" s="7"/>
      <c r="C53" s="28" t="s">
        <v>144</v>
      </c>
      <c r="D53" s="28" t="s">
        <v>145</v>
      </c>
      <c r="E53" s="11" t="s">
        <v>146</v>
      </c>
    </row>
    <row r="54" spans="1:7" x14ac:dyDescent="0.35">
      <c r="A54" s="23" t="s">
        <v>682</v>
      </c>
      <c r="B54" s="7"/>
      <c r="C54" s="34">
        <v>3259.2</v>
      </c>
      <c r="D54" s="34">
        <v>18805.142</v>
      </c>
      <c r="E54" s="21">
        <f>C54/D54</f>
        <v>0.17331429882316229</v>
      </c>
    </row>
    <row r="55" spans="1:7" ht="15" thickBot="1" x14ac:dyDescent="0.4">
      <c r="A55" s="23" t="s">
        <v>683</v>
      </c>
      <c r="B55" s="7"/>
      <c r="C55" s="34">
        <v>3691.7</v>
      </c>
      <c r="D55" s="34">
        <v>7434.2560000000003</v>
      </c>
      <c r="E55" s="21">
        <f>C55/D55</f>
        <v>0.49657961738202178</v>
      </c>
    </row>
    <row r="56" spans="1:7" ht="15" thickBot="1" x14ac:dyDescent="0.4">
      <c r="A56" s="15" t="s">
        <v>684</v>
      </c>
      <c r="B56" s="7"/>
      <c r="C56" s="27">
        <f>SUM(C54,C55)</f>
        <v>6950.9</v>
      </c>
      <c r="D56" s="27">
        <f>SUM(D54,D55)</f>
        <v>26239.398000000001</v>
      </c>
      <c r="E56" s="61">
        <f>C56/D56</f>
        <v>0.26490318108670019</v>
      </c>
    </row>
    <row r="57" spans="1:7" ht="15" thickBot="1" x14ac:dyDescent="0.4">
      <c r="D57" s="18">
        <f>SUM(D61:D65)</f>
        <v>17805.08716178</v>
      </c>
    </row>
    <row r="59" spans="1:7" x14ac:dyDescent="0.35">
      <c r="D59" s="38"/>
      <c r="F59" s="23" t="s">
        <v>218</v>
      </c>
      <c r="G59" s="23" t="s">
        <v>219</v>
      </c>
    </row>
    <row r="60" spans="1:7" ht="32" customHeight="1" thickBot="1" x14ac:dyDescent="0.4">
      <c r="A60" s="9" t="s">
        <v>681</v>
      </c>
      <c r="B60" s="7"/>
      <c r="E60" s="11"/>
      <c r="F60" s="11" t="s">
        <v>216</v>
      </c>
      <c r="G60" s="11" t="s">
        <v>217</v>
      </c>
    </row>
    <row r="61" spans="1:7" x14ac:dyDescent="0.35">
      <c r="A61" s="77" t="s">
        <v>218</v>
      </c>
      <c r="B61" s="23" t="s">
        <v>159</v>
      </c>
      <c r="C61" s="62">
        <v>295.90236720000001</v>
      </c>
      <c r="D61" s="62">
        <v>12036.117677060001</v>
      </c>
      <c r="E61" s="49">
        <f>IF(D61=0,0,C61/D61)</f>
        <v>2.4584535905956554E-2</v>
      </c>
      <c r="F61" s="63">
        <f>D61/SUM(D$61:D$65)</f>
        <v>0.67599319046842188</v>
      </c>
      <c r="G61" s="64">
        <v>0.55267680172064804</v>
      </c>
    </row>
    <row r="62" spans="1:7" x14ac:dyDescent="0.35">
      <c r="A62" s="77"/>
      <c r="B62" s="23" t="s">
        <v>160</v>
      </c>
      <c r="C62" s="62">
        <v>0</v>
      </c>
      <c r="D62" s="62">
        <v>0</v>
      </c>
      <c r="E62" s="49">
        <f>IF(D62=0,0,C62/D62)</f>
        <v>0</v>
      </c>
      <c r="F62" s="63">
        <f>D62/SUM(D$61:D$65)</f>
        <v>0</v>
      </c>
      <c r="G62" s="64">
        <v>4.5382148800203895E-3</v>
      </c>
    </row>
    <row r="63" spans="1:7" x14ac:dyDescent="0.35">
      <c r="A63" s="77"/>
      <c r="B63" s="23" t="s">
        <v>161</v>
      </c>
      <c r="C63" s="62">
        <v>245.50196400000002</v>
      </c>
      <c r="D63" s="62">
        <v>2052.13141692</v>
      </c>
      <c r="E63" s="49">
        <f>IF(D63=0,0,C63/D63)</f>
        <v>0.11963267165826477</v>
      </c>
      <c r="F63" s="63">
        <f>D63/SUM(D$61:D$65)</f>
        <v>0.11525534237906226</v>
      </c>
      <c r="G63" s="64">
        <v>0.11628481026142511</v>
      </c>
    </row>
    <row r="64" spans="1:7" x14ac:dyDescent="0.35">
      <c r="A64" s="77"/>
      <c r="B64" s="23" t="s">
        <v>162</v>
      </c>
      <c r="C64" s="62">
        <v>236.00188800000004</v>
      </c>
      <c r="D64" s="62">
        <v>1346.9191086000001</v>
      </c>
      <c r="E64" s="49">
        <f>IF(D64=0,0,C64/D64)</f>
        <v>0.17521608127254393</v>
      </c>
      <c r="F64" s="63">
        <f>D64/SUM(D$61:D$65)</f>
        <v>7.5647992978729497E-2</v>
      </c>
      <c r="G64" s="64">
        <v>2.6031266580433931E-2</v>
      </c>
    </row>
    <row r="65" spans="1:7" x14ac:dyDescent="0.35">
      <c r="A65" s="77"/>
      <c r="B65" s="23" t="s">
        <v>179</v>
      </c>
      <c r="C65" s="62">
        <v>2369.9189592000002</v>
      </c>
      <c r="D65" s="62">
        <v>2369.9189592000002</v>
      </c>
      <c r="E65" s="49">
        <f>IF(D65=0,0,C65/D65)</f>
        <v>1</v>
      </c>
      <c r="F65" s="63">
        <f>D65/SUM(D$61:D$65)</f>
        <v>0.1331034741737864</v>
      </c>
      <c r="G65" s="64">
        <v>0.30046890655747249</v>
      </c>
    </row>
    <row r="66" spans="1:7" x14ac:dyDescent="0.35">
      <c r="A66" s="77" t="s">
        <v>219</v>
      </c>
      <c r="B66" s="23" t="s">
        <v>159</v>
      </c>
      <c r="C66" s="65">
        <f>D66*E66</f>
        <v>208.87448019809898</v>
      </c>
      <c r="D66" s="65">
        <f>D$55*G61</f>
        <v>4108.7408292525379</v>
      </c>
      <c r="E66" s="55">
        <v>5.0836616101701752E-2</v>
      </c>
      <c r="F66" s="63">
        <f>SUM(F61:F65)</f>
        <v>1</v>
      </c>
      <c r="G66" s="63">
        <f>SUM(G61:G65)</f>
        <v>1</v>
      </c>
    </row>
    <row r="67" spans="1:7" x14ac:dyDescent="0.35">
      <c r="A67" s="77"/>
      <c r="B67" s="23" t="s">
        <v>160</v>
      </c>
      <c r="C67" s="65">
        <f>D67*E67</f>
        <v>33.738251201080864</v>
      </c>
      <c r="D67" s="65">
        <f>D$55*G62</f>
        <v>33.738251201080864</v>
      </c>
      <c r="E67" s="55">
        <v>1</v>
      </c>
      <c r="F67" s="7"/>
      <c r="G67" s="7"/>
    </row>
    <row r="68" spans="1:7" x14ac:dyDescent="0.35">
      <c r="A68" s="77"/>
      <c r="B68" s="23" t="s">
        <v>161</v>
      </c>
      <c r="C68" s="65">
        <f>D68*E68</f>
        <v>313.67470510910823</v>
      </c>
      <c r="D68" s="65">
        <f>D$55*G63</f>
        <v>864.4910483948612</v>
      </c>
      <c r="E68" s="55">
        <v>0.36284320779436868</v>
      </c>
      <c r="F68" s="7"/>
      <c r="G68" s="7"/>
    </row>
    <row r="69" spans="1:7" x14ac:dyDescent="0.35">
      <c r="A69" s="77"/>
      <c r="B69" s="23" t="s">
        <v>162</v>
      </c>
      <c r="C69" s="65">
        <f>D69*E69</f>
        <v>158.17141743055794</v>
      </c>
      <c r="D69" s="65">
        <f>D$55*G64</f>
        <v>193.52309976319043</v>
      </c>
      <c r="E69" s="55">
        <v>0.81732577467035461</v>
      </c>
      <c r="F69" s="7"/>
      <c r="G69" s="7"/>
    </row>
    <row r="70" spans="1:7" x14ac:dyDescent="0.35">
      <c r="A70" s="77"/>
      <c r="B70" s="23" t="s">
        <v>179</v>
      </c>
      <c r="C70" s="65">
        <f>D70*E70</f>
        <v>2233.7627713883294</v>
      </c>
      <c r="D70" s="65">
        <f>D$55*G65</f>
        <v>2233.7627713883294</v>
      </c>
      <c r="E70" s="55">
        <v>1</v>
      </c>
      <c r="F70" s="7"/>
      <c r="G70" s="7"/>
    </row>
    <row r="71" spans="1:7" x14ac:dyDescent="0.35">
      <c r="A71" s="7"/>
      <c r="B71" s="7"/>
      <c r="C71" s="86">
        <f>SUM(C66:C70)</f>
        <v>2948.2216253271754</v>
      </c>
      <c r="D71" s="86">
        <f>SUM(D66:D70)</f>
        <v>7434.2560000000003</v>
      </c>
      <c r="E71" s="86"/>
    </row>
    <row r="73" spans="1:7" x14ac:dyDescent="0.35">
      <c r="C73" s="85" t="s">
        <v>686</v>
      </c>
      <c r="D73" s="85"/>
      <c r="E73" s="85"/>
    </row>
    <row r="74" spans="1:7" ht="15" thickBot="1" x14ac:dyDescent="0.4">
      <c r="B74" s="23" t="s">
        <v>159</v>
      </c>
      <c r="C74" s="18">
        <f t="shared" ref="C74:D78" si="103">C61+C66</f>
        <v>504.77684739809899</v>
      </c>
      <c r="D74" s="18">
        <f t="shared" si="103"/>
        <v>16144.858506312539</v>
      </c>
      <c r="E74" s="21">
        <f>IF(D74=0,0,C74/D74)</f>
        <v>3.1265485987426546E-2</v>
      </c>
    </row>
    <row r="75" spans="1:7" ht="15" thickBot="1" x14ac:dyDescent="0.4">
      <c r="B75" s="23" t="s">
        <v>160</v>
      </c>
      <c r="C75" s="18">
        <f t="shared" si="103"/>
        <v>33.738251201080864</v>
      </c>
      <c r="D75" s="18">
        <f t="shared" si="103"/>
        <v>33.738251201080864</v>
      </c>
      <c r="E75" s="21">
        <f>IF(D75=0,0,C75/D75)</f>
        <v>1</v>
      </c>
    </row>
    <row r="76" spans="1:7" x14ac:dyDescent="0.35">
      <c r="B76" s="23" t="s">
        <v>161</v>
      </c>
      <c r="C76" s="18">
        <f t="shared" si="103"/>
        <v>559.17666910910827</v>
      </c>
      <c r="D76" s="18">
        <f t="shared" si="103"/>
        <v>2916.6224653148611</v>
      </c>
      <c r="E76" s="21">
        <f>IF(D76=0,0,C76/D76)</f>
        <v>0.1917206206010427</v>
      </c>
      <c r="F76" s="7"/>
    </row>
    <row r="77" spans="1:7" x14ac:dyDescent="0.35">
      <c r="B77" s="23" t="s">
        <v>162</v>
      </c>
      <c r="C77" s="18">
        <f t="shared" si="103"/>
        <v>394.173305430558</v>
      </c>
      <c r="D77" s="18">
        <f t="shared" si="103"/>
        <v>1540.4422083631905</v>
      </c>
      <c r="E77" s="21">
        <f>IF(D77=0,0,C77/D77)</f>
        <v>0.25588321541084624</v>
      </c>
      <c r="F77" s="7"/>
    </row>
    <row r="78" spans="1:7" x14ac:dyDescent="0.35">
      <c r="B78" s="23" t="s">
        <v>179</v>
      </c>
      <c r="C78" s="18">
        <f t="shared" si="103"/>
        <v>4603.6817305883296</v>
      </c>
      <c r="D78" s="18">
        <f t="shared" si="103"/>
        <v>4603.6817305883296</v>
      </c>
      <c r="E78" s="21">
        <f>IF(D78=0,0,C78/D78)</f>
        <v>1</v>
      </c>
      <c r="F78" s="7"/>
    </row>
    <row r="79" spans="1:7" ht="15" thickBot="1" x14ac:dyDescent="0.4">
      <c r="B79" s="37" t="s">
        <v>215</v>
      </c>
      <c r="C79" s="27">
        <f>SUM(C74:C78)</f>
        <v>6095.5468037271758</v>
      </c>
      <c r="D79" s="27">
        <f>SUM(D74:D78)</f>
        <v>25239.343161780002</v>
      </c>
      <c r="F79" s="7"/>
    </row>
    <row r="80" spans="1:7" x14ac:dyDescent="0.35">
      <c r="B80" s="7"/>
      <c r="D80" s="65">
        <f>C79/D79</f>
        <v>0.24150972411031985</v>
      </c>
      <c r="E80" s="7"/>
      <c r="F80" s="7"/>
    </row>
    <row r="81" spans="2:6" x14ac:dyDescent="0.35">
      <c r="F81" s="7"/>
    </row>
    <row r="82" spans="2:6" x14ac:dyDescent="0.35">
      <c r="F82" s="7"/>
    </row>
    <row r="83" spans="2:6" ht="18" customHeight="1" x14ac:dyDescent="0.35">
      <c r="B83" s="10" t="s">
        <v>202</v>
      </c>
      <c r="F83" s="7"/>
    </row>
    <row r="84" spans="2:6" ht="32" customHeight="1" thickBot="1" x14ac:dyDescent="0.4">
      <c r="B84" s="11" t="s">
        <v>203</v>
      </c>
      <c r="C84" s="11" t="s">
        <v>204</v>
      </c>
      <c r="D84" s="11" t="s">
        <v>205</v>
      </c>
      <c r="E84" s="11" t="s">
        <v>206</v>
      </c>
      <c r="F84" s="7"/>
    </row>
    <row r="85" spans="2:6" x14ac:dyDescent="0.35">
      <c r="B85" s="17">
        <v>2000</v>
      </c>
      <c r="C85" s="13">
        <v>8619</v>
      </c>
      <c r="D85" s="21">
        <v>0.25</v>
      </c>
      <c r="E85" s="13">
        <f t="shared" ref="E85:E108" si="104">C85*D85</f>
        <v>2154.75</v>
      </c>
      <c r="F85" s="7"/>
    </row>
    <row r="86" spans="2:6" x14ac:dyDescent="0.35">
      <c r="B86" s="17">
        <v>2001</v>
      </c>
      <c r="C86" s="13">
        <v>8565</v>
      </c>
      <c r="D86" s="21">
        <v>0.26</v>
      </c>
      <c r="E86" s="13">
        <f t="shared" si="104"/>
        <v>2226.9</v>
      </c>
      <c r="F86" s="7"/>
    </row>
    <row r="87" spans="2:6" x14ac:dyDescent="0.35">
      <c r="B87" s="17">
        <v>2002</v>
      </c>
      <c r="C87" s="13">
        <v>9494</v>
      </c>
      <c r="D87" s="21">
        <v>0.26</v>
      </c>
      <c r="E87" s="13">
        <f t="shared" si="104"/>
        <v>2468.44</v>
      </c>
      <c r="F87" s="7"/>
    </row>
    <row r="88" spans="2:6" x14ac:dyDescent="0.35">
      <c r="B88" s="17">
        <v>2003</v>
      </c>
      <c r="C88" s="13">
        <v>9999</v>
      </c>
      <c r="D88" s="21">
        <v>0.25</v>
      </c>
      <c r="E88" s="13">
        <f t="shared" si="104"/>
        <v>2499.75</v>
      </c>
      <c r="F88" s="7"/>
    </row>
    <row r="89" spans="2:6" x14ac:dyDescent="0.35">
      <c r="B89" s="17">
        <v>2004</v>
      </c>
      <c r="C89" s="13">
        <v>10276</v>
      </c>
      <c r="D89" s="21">
        <v>0.26</v>
      </c>
      <c r="E89" s="13">
        <f t="shared" si="104"/>
        <v>2671.76</v>
      </c>
      <c r="F89" s="7"/>
    </row>
    <row r="90" spans="2:6" x14ac:dyDescent="0.35">
      <c r="B90" s="17">
        <v>2005</v>
      </c>
      <c r="C90" s="13">
        <v>11689</v>
      </c>
      <c r="D90" s="21">
        <v>0.23</v>
      </c>
      <c r="E90" s="13">
        <f t="shared" si="104"/>
        <v>2688.4700000000003</v>
      </c>
      <c r="F90" s="7"/>
    </row>
    <row r="91" spans="2:6" x14ac:dyDescent="0.35">
      <c r="B91" s="17">
        <v>2006</v>
      </c>
      <c r="C91" s="13">
        <v>12044</v>
      </c>
      <c r="D91" s="21">
        <v>0.23</v>
      </c>
      <c r="E91" s="13">
        <f t="shared" si="104"/>
        <v>2770.1200000000003</v>
      </c>
      <c r="F91" s="7"/>
    </row>
    <row r="92" spans="2:6" x14ac:dyDescent="0.35">
      <c r="B92" s="17">
        <v>2007</v>
      </c>
      <c r="C92" s="13">
        <v>12336</v>
      </c>
      <c r="D92" s="21">
        <v>0.24</v>
      </c>
      <c r="E92" s="13">
        <f t="shared" si="104"/>
        <v>2960.64</v>
      </c>
      <c r="F92" s="7"/>
    </row>
    <row r="93" spans="2:6" x14ac:dyDescent="0.35">
      <c r="B93" s="17">
        <v>2008</v>
      </c>
      <c r="C93" s="13">
        <v>11058</v>
      </c>
      <c r="D93" s="21">
        <v>0.24</v>
      </c>
      <c r="E93" s="13">
        <f t="shared" si="104"/>
        <v>2653.92</v>
      </c>
      <c r="F93" s="7"/>
    </row>
    <row r="94" spans="2:6" x14ac:dyDescent="0.35">
      <c r="B94" s="17">
        <v>2009</v>
      </c>
      <c r="C94" s="13">
        <v>9711</v>
      </c>
      <c r="D94" s="21">
        <v>0.24</v>
      </c>
      <c r="E94" s="13">
        <f t="shared" si="104"/>
        <v>2330.64</v>
      </c>
      <c r="F94" s="7"/>
    </row>
    <row r="95" spans="2:6" x14ac:dyDescent="0.35">
      <c r="B95" s="17">
        <v>2010</v>
      </c>
      <c r="C95" s="13">
        <v>10572</v>
      </c>
      <c r="D95" s="21">
        <v>0.24</v>
      </c>
      <c r="E95" s="13">
        <f t="shared" si="104"/>
        <v>2537.2799999999997</v>
      </c>
      <c r="F95" s="7"/>
    </row>
    <row r="96" spans="2:6" x14ac:dyDescent="0.35">
      <c r="B96" s="17">
        <v>2011</v>
      </c>
      <c r="C96" s="13">
        <v>11323</v>
      </c>
      <c r="D96" s="21">
        <v>0.24</v>
      </c>
      <c r="E96" s="13">
        <f t="shared" si="104"/>
        <v>2717.52</v>
      </c>
      <c r="F96" s="7"/>
    </row>
    <row r="97" spans="2:6" ht="15" thickBot="1" x14ac:dyDescent="0.4">
      <c r="B97" s="17">
        <v>2012</v>
      </c>
      <c r="C97" s="13">
        <v>11987</v>
      </c>
      <c r="D97" s="21">
        <v>0.23</v>
      </c>
      <c r="E97" s="13">
        <f t="shared" si="104"/>
        <v>2757.01</v>
      </c>
      <c r="F97" s="7"/>
    </row>
    <row r="98" spans="2:6" x14ac:dyDescent="0.35">
      <c r="B98" s="17">
        <v>2013</v>
      </c>
      <c r="C98" s="13">
        <v>11595</v>
      </c>
      <c r="D98" s="21">
        <v>0.25</v>
      </c>
      <c r="E98" s="13">
        <f t="shared" si="104"/>
        <v>2898.75</v>
      </c>
    </row>
    <row r="99" spans="2:6" x14ac:dyDescent="0.35">
      <c r="B99" s="17">
        <v>2014</v>
      </c>
      <c r="C99" s="13">
        <v>11614</v>
      </c>
      <c r="D99" s="21">
        <v>0.26</v>
      </c>
      <c r="E99" s="13">
        <f t="shared" si="104"/>
        <v>3019.6400000000003</v>
      </c>
    </row>
    <row r="100" spans="2:6" x14ac:dyDescent="0.35">
      <c r="B100" s="17">
        <v>2015</v>
      </c>
      <c r="C100" s="13">
        <v>10996</v>
      </c>
      <c r="D100" s="21">
        <v>0.28999999999999998</v>
      </c>
      <c r="E100" s="13">
        <f t="shared" si="104"/>
        <v>3188.8399999999997</v>
      </c>
    </row>
    <row r="101" spans="2:6" x14ac:dyDescent="0.35">
      <c r="B101" s="17">
        <v>2016</v>
      </c>
      <c r="C101" s="13">
        <v>11059</v>
      </c>
      <c r="D101" s="21">
        <v>0.3</v>
      </c>
      <c r="E101" s="13">
        <f t="shared" si="104"/>
        <v>3317.7</v>
      </c>
    </row>
    <row r="102" spans="2:6" x14ac:dyDescent="0.35">
      <c r="B102" s="17">
        <v>2017</v>
      </c>
      <c r="C102" s="13">
        <v>11956</v>
      </c>
      <c r="D102" s="21">
        <v>0.28999999999999998</v>
      </c>
      <c r="E102" s="13">
        <f t="shared" si="104"/>
        <v>3467.24</v>
      </c>
    </row>
    <row r="103" spans="2:6" x14ac:dyDescent="0.35">
      <c r="B103" s="17">
        <v>2018</v>
      </c>
      <c r="C103" s="13">
        <v>12365</v>
      </c>
      <c r="D103" s="21">
        <v>0.28999999999999998</v>
      </c>
      <c r="E103" s="13">
        <f t="shared" si="104"/>
        <v>3585.85</v>
      </c>
    </row>
    <row r="104" spans="2:6" x14ac:dyDescent="0.35">
      <c r="B104" s="17">
        <v>2019</v>
      </c>
      <c r="C104" s="13">
        <v>12458</v>
      </c>
      <c r="D104" s="21">
        <v>0.28999999999999998</v>
      </c>
      <c r="E104" s="13">
        <f t="shared" si="104"/>
        <v>3612.8199999999997</v>
      </c>
    </row>
    <row r="105" spans="2:6" x14ac:dyDescent="0.35">
      <c r="B105" s="17">
        <v>2020</v>
      </c>
      <c r="C105" s="13">
        <v>11413</v>
      </c>
      <c r="D105" s="21">
        <v>0.31</v>
      </c>
      <c r="E105" s="13">
        <f t="shared" si="104"/>
        <v>3538.03</v>
      </c>
    </row>
    <row r="106" spans="2:6" x14ac:dyDescent="0.35">
      <c r="B106" s="17">
        <v>2021</v>
      </c>
      <c r="C106" s="13">
        <v>12403</v>
      </c>
      <c r="D106" s="21">
        <v>0.3</v>
      </c>
      <c r="E106" s="13">
        <f t="shared" si="104"/>
        <v>3720.8999999999996</v>
      </c>
    </row>
    <row r="107" spans="2:6" x14ac:dyDescent="0.35">
      <c r="B107" s="17">
        <v>2022</v>
      </c>
      <c r="C107" s="13">
        <v>10708</v>
      </c>
      <c r="D107" s="21">
        <v>0.32</v>
      </c>
      <c r="E107" s="13">
        <f t="shared" si="104"/>
        <v>3426.56</v>
      </c>
    </row>
    <row r="108" spans="2:6" x14ac:dyDescent="0.35">
      <c r="B108" s="17">
        <v>2023</v>
      </c>
      <c r="C108" s="13">
        <v>10160</v>
      </c>
      <c r="D108" s="21">
        <v>0.32</v>
      </c>
      <c r="E108" s="13">
        <f t="shared" si="104"/>
        <v>3251.2000000000003</v>
      </c>
    </row>
    <row r="109" spans="2:6" x14ac:dyDescent="0.35">
      <c r="B109" s="17">
        <v>2024</v>
      </c>
      <c r="C109" s="13">
        <v>10932</v>
      </c>
      <c r="D109" s="21">
        <v>0.31</v>
      </c>
    </row>
    <row r="111" spans="2:6" ht="18" customHeight="1" x14ac:dyDescent="0.35">
      <c r="B111" s="10" t="s">
        <v>207</v>
      </c>
    </row>
    <row r="112" spans="2:6" ht="32" customHeight="1" x14ac:dyDescent="0.35">
      <c r="B112" s="11" t="s">
        <v>208</v>
      </c>
      <c r="C112" s="11" t="s">
        <v>204</v>
      </c>
      <c r="D112" s="11" t="s">
        <v>205</v>
      </c>
      <c r="E112" s="11" t="s">
        <v>206</v>
      </c>
    </row>
    <row r="113" spans="2:5" x14ac:dyDescent="0.35">
      <c r="B113" s="17">
        <v>2000</v>
      </c>
      <c r="C113" s="13">
        <v>12284</v>
      </c>
      <c r="D113" s="20">
        <v>6.0000000000000001E-3</v>
      </c>
      <c r="E113" s="19">
        <f t="shared" ref="E113:E136" si="105">C113*D113</f>
        <v>73.704000000000008</v>
      </c>
    </row>
    <row r="114" spans="2:5" x14ac:dyDescent="0.35">
      <c r="B114" s="17">
        <v>2001</v>
      </c>
      <c r="C114" s="13">
        <v>13463</v>
      </c>
      <c r="D114" s="20">
        <v>7.0000000000000001E-3</v>
      </c>
      <c r="E114" s="19">
        <f t="shared" si="105"/>
        <v>94.241</v>
      </c>
    </row>
    <row r="115" spans="2:5" x14ac:dyDescent="0.35">
      <c r="B115" s="17">
        <v>2002</v>
      </c>
      <c r="C115" s="13">
        <v>13897</v>
      </c>
      <c r="D115" s="20">
        <v>6.0000000000000001E-3</v>
      </c>
      <c r="E115" s="19">
        <f t="shared" si="105"/>
        <v>83.382000000000005</v>
      </c>
    </row>
    <row r="116" spans="2:5" x14ac:dyDescent="0.35">
      <c r="B116" s="17">
        <v>2003</v>
      </c>
      <c r="C116" s="13">
        <v>14191</v>
      </c>
      <c r="D116" s="20">
        <v>6.0000000000000001E-3</v>
      </c>
      <c r="E116" s="19">
        <f t="shared" si="105"/>
        <v>85.146000000000001</v>
      </c>
    </row>
    <row r="117" spans="2:5" x14ac:dyDescent="0.35">
      <c r="B117" s="17">
        <v>2004</v>
      </c>
      <c r="C117" s="13">
        <v>15583</v>
      </c>
      <c r="D117" s="20">
        <v>6.0000000000000001E-3</v>
      </c>
      <c r="E117" s="19">
        <f t="shared" si="105"/>
        <v>93.498000000000005</v>
      </c>
    </row>
    <row r="118" spans="2:5" x14ac:dyDescent="0.35">
      <c r="B118" s="17">
        <v>2005</v>
      </c>
      <c r="C118" s="13">
        <v>16723</v>
      </c>
      <c r="D118" s="20">
        <v>6.0000000000000001E-3</v>
      </c>
      <c r="E118" s="19">
        <f t="shared" si="105"/>
        <v>100.33800000000001</v>
      </c>
    </row>
    <row r="119" spans="2:5" x14ac:dyDescent="0.35">
      <c r="B119" s="17">
        <v>2006</v>
      </c>
      <c r="C119" s="13">
        <v>18029</v>
      </c>
      <c r="D119" s="20">
        <v>5.0000000000000001E-3</v>
      </c>
      <c r="E119" s="19">
        <f t="shared" si="105"/>
        <v>90.144999999999996</v>
      </c>
    </row>
    <row r="120" spans="2:5" x14ac:dyDescent="0.35">
      <c r="B120" s="17">
        <v>2007</v>
      </c>
      <c r="C120" s="13">
        <v>21435</v>
      </c>
      <c r="D120" s="20">
        <v>3.0000000000000001E-3</v>
      </c>
      <c r="E120" s="19">
        <f t="shared" si="105"/>
        <v>64.305000000000007</v>
      </c>
    </row>
    <row r="121" spans="2:5" x14ac:dyDescent="0.35">
      <c r="B121" s="17">
        <v>2008</v>
      </c>
      <c r="C121" s="13">
        <v>21491</v>
      </c>
      <c r="D121" s="20">
        <v>4.0000000000000001E-3</v>
      </c>
      <c r="E121" s="19">
        <f t="shared" si="105"/>
        <v>85.963999999999999</v>
      </c>
    </row>
    <row r="122" spans="2:5" x14ac:dyDescent="0.35">
      <c r="B122" s="17">
        <v>2009</v>
      </c>
      <c r="C122" s="13">
        <v>17515</v>
      </c>
      <c r="D122" s="20">
        <v>4.0000000000000001E-3</v>
      </c>
      <c r="E122" s="19">
        <f t="shared" si="105"/>
        <v>70.06</v>
      </c>
    </row>
    <row r="123" spans="2:5" x14ac:dyDescent="0.35">
      <c r="B123" s="17">
        <v>2010</v>
      </c>
      <c r="C123" s="13">
        <v>18040</v>
      </c>
      <c r="D123" s="20">
        <v>4.0000000000000001E-3</v>
      </c>
      <c r="E123" s="19">
        <f t="shared" si="105"/>
        <v>72.16</v>
      </c>
    </row>
    <row r="124" spans="2:5" x14ac:dyDescent="0.35">
      <c r="B124" s="17">
        <v>2011</v>
      </c>
      <c r="C124" s="13">
        <v>17958</v>
      </c>
      <c r="D124" s="20">
        <v>4.0000000000000001E-3</v>
      </c>
      <c r="E124" s="19">
        <f t="shared" si="105"/>
        <v>71.832000000000008</v>
      </c>
    </row>
    <row r="125" spans="2:5" x14ac:dyDescent="0.35">
      <c r="B125" s="17">
        <v>2012</v>
      </c>
      <c r="C125" s="13">
        <v>18311</v>
      </c>
      <c r="D125" s="20">
        <v>4.0000000000000001E-3</v>
      </c>
      <c r="E125" s="19">
        <f t="shared" si="105"/>
        <v>73.244</v>
      </c>
    </row>
    <row r="126" spans="2:5" x14ac:dyDescent="0.35">
      <c r="B126" s="17">
        <v>2013</v>
      </c>
      <c r="C126" s="13">
        <v>18361</v>
      </c>
      <c r="D126" s="20">
        <v>4.0000000000000001E-3</v>
      </c>
      <c r="E126" s="19">
        <f t="shared" si="105"/>
        <v>73.444000000000003</v>
      </c>
    </row>
    <row r="127" spans="2:5" x14ac:dyDescent="0.35">
      <c r="B127" s="17">
        <v>2014</v>
      </c>
      <c r="C127" s="13">
        <v>20356</v>
      </c>
      <c r="D127" s="20">
        <v>3.0000000000000001E-3</v>
      </c>
      <c r="E127" s="19">
        <f t="shared" si="105"/>
        <v>61.067999999999998</v>
      </c>
    </row>
    <row r="128" spans="2:5" x14ac:dyDescent="0.35">
      <c r="B128" s="17">
        <v>2015</v>
      </c>
      <c r="C128" s="13">
        <v>21450</v>
      </c>
      <c r="D128" s="20">
        <v>3.0000000000000001E-3</v>
      </c>
      <c r="E128" s="19">
        <f t="shared" si="105"/>
        <v>64.349999999999994</v>
      </c>
    </row>
    <row r="129" spans="2:5" x14ac:dyDescent="0.35">
      <c r="B129" s="17">
        <v>2016</v>
      </c>
      <c r="C129" s="13">
        <v>22906</v>
      </c>
      <c r="D129" s="20">
        <v>3.0000000000000001E-3</v>
      </c>
      <c r="E129" s="19">
        <f t="shared" si="105"/>
        <v>68.718000000000004</v>
      </c>
    </row>
    <row r="130" spans="2:5" x14ac:dyDescent="0.35">
      <c r="B130" s="17">
        <v>2017</v>
      </c>
      <c r="C130" s="13">
        <v>24135</v>
      </c>
      <c r="D130" s="20">
        <v>3.0000000000000001E-3</v>
      </c>
      <c r="E130" s="19">
        <f t="shared" si="105"/>
        <v>72.405000000000001</v>
      </c>
    </row>
    <row r="131" spans="2:5" x14ac:dyDescent="0.35">
      <c r="B131" s="17">
        <v>2018</v>
      </c>
      <c r="C131" s="13">
        <v>25763</v>
      </c>
      <c r="D131" s="20">
        <v>3.0000000000000001E-3</v>
      </c>
      <c r="E131" s="19">
        <f t="shared" si="105"/>
        <v>77.289000000000001</v>
      </c>
    </row>
    <row r="132" spans="2:5" x14ac:dyDescent="0.35">
      <c r="B132" s="17">
        <v>2019</v>
      </c>
      <c r="C132" s="13">
        <v>26568</v>
      </c>
      <c r="D132" s="20">
        <v>3.0000000000000001E-3</v>
      </c>
      <c r="E132" s="19">
        <f t="shared" si="105"/>
        <v>79.704000000000008</v>
      </c>
    </row>
    <row r="133" spans="2:5" x14ac:dyDescent="0.35">
      <c r="B133" s="17">
        <v>2020</v>
      </c>
      <c r="C133" s="13">
        <v>25473</v>
      </c>
      <c r="D133" s="20">
        <v>3.0000000000000001E-3</v>
      </c>
      <c r="E133" s="19">
        <f t="shared" si="105"/>
        <v>76.418999999999997</v>
      </c>
    </row>
    <row r="134" spans="2:5" x14ac:dyDescent="0.35">
      <c r="B134" s="17">
        <v>2021</v>
      </c>
      <c r="C134" s="13">
        <v>25774</v>
      </c>
      <c r="D134" s="20">
        <v>3.0000000000000001E-3</v>
      </c>
      <c r="E134" s="19">
        <f t="shared" si="105"/>
        <v>77.322000000000003</v>
      </c>
    </row>
    <row r="135" spans="2:5" x14ac:dyDescent="0.35">
      <c r="B135" s="17">
        <v>2022</v>
      </c>
      <c r="C135" s="13">
        <v>25757</v>
      </c>
      <c r="D135" s="20">
        <v>4.0000000000000001E-3</v>
      </c>
      <c r="E135" s="19">
        <f t="shared" si="105"/>
        <v>103.02800000000001</v>
      </c>
    </row>
    <row r="136" spans="2:5" x14ac:dyDescent="0.35">
      <c r="B136" s="17">
        <v>2023</v>
      </c>
      <c r="C136" s="13">
        <v>26327</v>
      </c>
      <c r="D136" s="20">
        <v>4.0000000000000001E-3</v>
      </c>
      <c r="E136" s="19">
        <f t="shared" si="105"/>
        <v>105.30800000000001</v>
      </c>
    </row>
    <row r="137" spans="2:5" x14ac:dyDescent="0.35">
      <c r="B137" s="17">
        <v>2024</v>
      </c>
      <c r="C137" s="13">
        <v>25701</v>
      </c>
      <c r="D137" s="20">
        <v>5.0000000000000001E-3</v>
      </c>
    </row>
    <row r="139" spans="2:5" ht="18" customHeight="1" x14ac:dyDescent="0.35">
      <c r="B139" s="10" t="s">
        <v>209</v>
      </c>
    </row>
    <row r="140" spans="2:5" ht="32" customHeight="1" x14ac:dyDescent="0.35">
      <c r="B140" s="11" t="s">
        <v>134</v>
      </c>
      <c r="C140" s="11" t="s">
        <v>204</v>
      </c>
      <c r="D140" s="11" t="s">
        <v>205</v>
      </c>
      <c r="E140" s="11" t="s">
        <v>206</v>
      </c>
    </row>
    <row r="141" spans="2:5" x14ac:dyDescent="0.35">
      <c r="B141" s="17">
        <v>2000</v>
      </c>
      <c r="C141" s="13">
        <v>21284</v>
      </c>
      <c r="D141" s="21">
        <v>0.17</v>
      </c>
      <c r="E141" s="13">
        <f t="shared" ref="E141:E164" si="106">C141*D141</f>
        <v>3618.28</v>
      </c>
    </row>
    <row r="142" spans="2:5" x14ac:dyDescent="0.35">
      <c r="B142" s="17">
        <v>2001</v>
      </c>
      <c r="C142" s="13">
        <v>21954</v>
      </c>
      <c r="D142" s="21">
        <v>0.17</v>
      </c>
      <c r="E142" s="13">
        <f t="shared" si="106"/>
        <v>3732.1800000000003</v>
      </c>
    </row>
    <row r="143" spans="2:5" x14ac:dyDescent="0.35">
      <c r="B143" s="17">
        <v>2002</v>
      </c>
      <c r="C143" s="13">
        <v>22423</v>
      </c>
      <c r="D143" s="21">
        <v>0.17</v>
      </c>
      <c r="E143" s="13">
        <f t="shared" si="106"/>
        <v>3811.9100000000003</v>
      </c>
    </row>
    <row r="144" spans="2:5" x14ac:dyDescent="0.35">
      <c r="B144" s="17">
        <v>2003</v>
      </c>
      <c r="C144" s="13">
        <v>23074</v>
      </c>
      <c r="D144" s="21">
        <v>0.19</v>
      </c>
      <c r="E144" s="13">
        <f t="shared" si="106"/>
        <v>4384.0600000000004</v>
      </c>
    </row>
    <row r="145" spans="2:5" x14ac:dyDescent="0.35">
      <c r="B145" s="17">
        <v>2004</v>
      </c>
      <c r="C145" s="13">
        <v>23524</v>
      </c>
      <c r="D145" s="21">
        <v>0.2</v>
      </c>
      <c r="E145" s="13">
        <f t="shared" si="106"/>
        <v>4704.8</v>
      </c>
    </row>
    <row r="146" spans="2:5" x14ac:dyDescent="0.35">
      <c r="B146" s="17">
        <v>2005</v>
      </c>
      <c r="C146" s="13">
        <v>24075</v>
      </c>
      <c r="D146" s="21">
        <v>0.2</v>
      </c>
      <c r="E146" s="13">
        <f t="shared" si="106"/>
        <v>4815</v>
      </c>
    </row>
    <row r="147" spans="2:5" x14ac:dyDescent="0.35">
      <c r="B147" s="17">
        <v>2006</v>
      </c>
      <c r="C147" s="13">
        <v>25309</v>
      </c>
      <c r="D147" s="21">
        <v>0.21</v>
      </c>
      <c r="E147" s="13">
        <f t="shared" si="106"/>
        <v>5314.8899999999994</v>
      </c>
    </row>
    <row r="148" spans="2:5" x14ac:dyDescent="0.35">
      <c r="B148" s="17">
        <v>2007</v>
      </c>
      <c r="C148" s="13">
        <v>24811</v>
      </c>
      <c r="D148" s="21">
        <v>0.22</v>
      </c>
      <c r="E148" s="13">
        <f t="shared" si="106"/>
        <v>5458.42</v>
      </c>
    </row>
    <row r="149" spans="2:5" x14ac:dyDescent="0.35">
      <c r="B149" s="17">
        <v>2008</v>
      </c>
      <c r="C149" s="13">
        <v>25068</v>
      </c>
      <c r="D149" s="21">
        <v>0.24</v>
      </c>
      <c r="E149" s="13">
        <f t="shared" si="106"/>
        <v>6016.32</v>
      </c>
    </row>
    <row r="150" spans="2:5" x14ac:dyDescent="0.35">
      <c r="B150" s="17">
        <v>2009</v>
      </c>
      <c r="C150" s="13">
        <v>25129</v>
      </c>
      <c r="D150" s="21">
        <v>0.23</v>
      </c>
      <c r="E150" s="13">
        <f t="shared" si="106"/>
        <v>5779.67</v>
      </c>
    </row>
    <row r="151" spans="2:5" x14ac:dyDescent="0.35">
      <c r="B151" s="17">
        <v>2010</v>
      </c>
      <c r="C151" s="13">
        <v>25530</v>
      </c>
      <c r="D151" s="21">
        <v>0.21</v>
      </c>
      <c r="E151" s="13">
        <f t="shared" si="106"/>
        <v>5361.3</v>
      </c>
    </row>
    <row r="152" spans="2:5" x14ac:dyDescent="0.35">
      <c r="B152" s="17">
        <v>2011</v>
      </c>
      <c r="C152" s="13">
        <v>24618</v>
      </c>
      <c r="D152" s="21">
        <v>0.23</v>
      </c>
      <c r="E152" s="13">
        <f t="shared" si="106"/>
        <v>5662.14</v>
      </c>
    </row>
    <row r="153" spans="2:5" x14ac:dyDescent="0.35">
      <c r="B153" s="17">
        <v>2012</v>
      </c>
      <c r="C153" s="13">
        <v>24968</v>
      </c>
      <c r="D153" s="21">
        <v>0.23</v>
      </c>
      <c r="E153" s="13">
        <f t="shared" si="106"/>
        <v>5742.64</v>
      </c>
    </row>
    <row r="154" spans="2:5" x14ac:dyDescent="0.35">
      <c r="B154" s="17">
        <v>2013</v>
      </c>
      <c r="C154" s="13">
        <v>23980</v>
      </c>
      <c r="D154" s="21">
        <v>0.24</v>
      </c>
      <c r="E154" s="13">
        <f t="shared" si="106"/>
        <v>5755.2</v>
      </c>
    </row>
    <row r="155" spans="2:5" x14ac:dyDescent="0.35">
      <c r="B155" s="17">
        <v>2014</v>
      </c>
      <c r="C155" s="13">
        <v>23118</v>
      </c>
      <c r="D155" s="21">
        <v>0.25</v>
      </c>
      <c r="E155" s="13">
        <f t="shared" si="106"/>
        <v>5779.5</v>
      </c>
    </row>
    <row r="156" spans="2:5" x14ac:dyDescent="0.35">
      <c r="B156" s="17">
        <v>2015</v>
      </c>
      <c r="C156" s="13">
        <v>22505</v>
      </c>
      <c r="D156" s="21">
        <v>0.26</v>
      </c>
      <c r="E156" s="13">
        <f t="shared" si="106"/>
        <v>5851.3</v>
      </c>
    </row>
    <row r="157" spans="2:5" x14ac:dyDescent="0.35">
      <c r="B157" s="17">
        <v>2016</v>
      </c>
      <c r="C157" s="13">
        <v>23668</v>
      </c>
      <c r="D157" s="21">
        <v>0.26</v>
      </c>
      <c r="E157" s="13">
        <f t="shared" si="106"/>
        <v>6153.68</v>
      </c>
    </row>
    <row r="158" spans="2:5" x14ac:dyDescent="0.35">
      <c r="B158" s="17">
        <v>2017</v>
      </c>
      <c r="C158" s="13">
        <v>24307</v>
      </c>
      <c r="D158" s="21">
        <v>0.25</v>
      </c>
      <c r="E158" s="13">
        <f t="shared" si="106"/>
        <v>6076.75</v>
      </c>
    </row>
    <row r="159" spans="2:5" x14ac:dyDescent="0.35">
      <c r="B159" s="17">
        <v>2018</v>
      </c>
      <c r="C159" s="13">
        <v>25162</v>
      </c>
      <c r="D159" s="21">
        <v>0.26</v>
      </c>
      <c r="E159" s="13">
        <f t="shared" si="106"/>
        <v>6542.12</v>
      </c>
    </row>
    <row r="160" spans="2:5" x14ac:dyDescent="0.35">
      <c r="B160" s="17">
        <v>2019</v>
      </c>
      <c r="C160" s="13">
        <v>24129</v>
      </c>
      <c r="D160" s="21">
        <v>0.27</v>
      </c>
      <c r="E160" s="13">
        <f t="shared" si="106"/>
        <v>6514.8300000000008</v>
      </c>
    </row>
    <row r="161" spans="2:5" x14ac:dyDescent="0.35">
      <c r="B161" s="17">
        <v>2020</v>
      </c>
      <c r="C161" s="13">
        <v>23374</v>
      </c>
      <c r="D161" s="21">
        <v>0.27</v>
      </c>
      <c r="E161" s="13">
        <f t="shared" si="106"/>
        <v>6310.9800000000005</v>
      </c>
    </row>
    <row r="162" spans="2:5" x14ac:dyDescent="0.35">
      <c r="B162" s="17">
        <v>2021</v>
      </c>
      <c r="C162" s="13">
        <v>26483</v>
      </c>
      <c r="D162" s="21">
        <v>0.26</v>
      </c>
      <c r="E162" s="13">
        <f t="shared" si="106"/>
        <v>6885.58</v>
      </c>
    </row>
    <row r="163" spans="2:5" x14ac:dyDescent="0.35">
      <c r="B163" s="17">
        <v>2022</v>
      </c>
      <c r="C163" s="13">
        <v>25259</v>
      </c>
      <c r="D163" s="21">
        <v>0.27</v>
      </c>
      <c r="E163" s="13">
        <f t="shared" si="106"/>
        <v>6819.93</v>
      </c>
    </row>
    <row r="164" spans="2:5" x14ac:dyDescent="0.35">
      <c r="B164" s="17">
        <v>2023</v>
      </c>
      <c r="C164" s="13">
        <v>24837</v>
      </c>
      <c r="D164" s="21">
        <v>0.26</v>
      </c>
      <c r="E164" s="13">
        <f t="shared" si="106"/>
        <v>6457.62</v>
      </c>
    </row>
    <row r="165" spans="2:5" x14ac:dyDescent="0.35">
      <c r="B165" s="17">
        <v>2024</v>
      </c>
      <c r="C165" s="13">
        <v>26278</v>
      </c>
      <c r="D165" s="21">
        <v>0.26</v>
      </c>
    </row>
  </sheetData>
  <sheetProtection algorithmName="SHA-512" hashValue="gCx9EJHcP+Edcgc2e0yNJnreA0eDGIUn1hioxTyP32dbLXV9qROKvGct2FZ+JzKO9n8nGwFYSLmKQABY/QgLxA==" saltValue="7UEt+0olBCl9PxXmcJqKpw==" spinCount="100000" sheet="1" objects="1" scenarios="1"/>
  <mergeCells count="34">
    <mergeCell ref="C73:E73"/>
    <mergeCell ref="C71:E71"/>
    <mergeCell ref="A61:A65"/>
    <mergeCell ref="A66:A70"/>
    <mergeCell ref="DR5:DV5"/>
    <mergeCell ref="DW5:EA5"/>
    <mergeCell ref="A9:A13"/>
    <mergeCell ref="A14:A26"/>
    <mergeCell ref="CS5:CW5"/>
    <mergeCell ref="CX5:DB5"/>
    <mergeCell ref="DC5:DG5"/>
    <mergeCell ref="DH5:DL5"/>
    <mergeCell ref="DM5:DQ5"/>
    <mergeCell ref="BT5:BX5"/>
    <mergeCell ref="BY5:CC5"/>
    <mergeCell ref="CD5:CH5"/>
    <mergeCell ref="CI5:CM5"/>
    <mergeCell ref="CN5:CR5"/>
    <mergeCell ref="A1:J3"/>
    <mergeCell ref="N4:AG4"/>
    <mergeCell ref="AL4:BJ4"/>
    <mergeCell ref="BO4:CM4"/>
    <mergeCell ref="A5:A8"/>
    <mergeCell ref="K5:K26"/>
    <mergeCell ref="N5:R5"/>
    <mergeCell ref="S5:W5"/>
    <mergeCell ref="X5:AB5"/>
    <mergeCell ref="AC5:AG5"/>
    <mergeCell ref="AL5:AP5"/>
    <mergeCell ref="AQ5:AU5"/>
    <mergeCell ref="AV5:AZ5"/>
    <mergeCell ref="BA5:BE5"/>
    <mergeCell ref="BF5:BJ5"/>
    <mergeCell ref="BO5:BS5"/>
  </mergeCells>
  <hyperlinks>
    <hyperlink ref="H5" r:id="rId1" xr:uid="{00000000-0004-0000-0700-000000000000}"/>
  </hyperlinks>
  <pageMargins left="0.7" right="0.7" top="0.75" bottom="0.75" header="0.511811023622047" footer="0.511811023622047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C5E40C27BB94B80DE82724D7D6F66" ma:contentTypeVersion="18" ma:contentTypeDescription="Create a new document." ma:contentTypeScope="" ma:versionID="ebe4649b44a70d47dcde84f636f81517">
  <xsd:schema xmlns:xsd="http://www.w3.org/2001/XMLSchema" xmlns:xs="http://www.w3.org/2001/XMLSchema" xmlns:p="http://schemas.microsoft.com/office/2006/metadata/properties" xmlns:ns2="f8eea61b-0d45-4c25-8488-2b3e0f09d2c9" xmlns:ns3="e08fa773-5d6d-4244-aabf-7f96723cba25" targetNamespace="http://schemas.microsoft.com/office/2006/metadata/properties" ma:root="true" ma:fieldsID="17421a32c01b9a4159838d7aded29902" ns2:_="" ns3:_="">
    <xsd:import namespace="f8eea61b-0d45-4c25-8488-2b3e0f09d2c9"/>
    <xsd:import namespace="e08fa773-5d6d-4244-aabf-7f96723cba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eea61b-0d45-4c25-8488-2b3e0f09d2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c5b9f97-a3a9-4673-b973-1f963bf50a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fa773-5d6d-4244-aabf-7f96723cba2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4e8efaa-9ff8-4bf1-8ffc-cd3f4cd41685}" ma:internalName="TaxCatchAll" ma:showField="CatchAllData" ma:web="e08fa773-5d6d-4244-aabf-7f96723cba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8eea61b-0d45-4c25-8488-2b3e0f09d2c9">
      <Terms xmlns="http://schemas.microsoft.com/office/infopath/2007/PartnerControls"/>
    </lcf76f155ced4ddcb4097134ff3c332f>
    <TaxCatchAll xmlns="e08fa773-5d6d-4244-aabf-7f96723cba25" xsi:nil="true"/>
  </documentManagement>
</p:properties>
</file>

<file path=customXml/itemProps1.xml><?xml version="1.0" encoding="utf-8"?>
<ds:datastoreItem xmlns:ds="http://schemas.openxmlformats.org/officeDocument/2006/customXml" ds:itemID="{BC70A256-3159-4C71-838F-7DE83E860A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11A154-D03E-4F93-B74D-858E992797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eea61b-0d45-4c25-8488-2b3e0f09d2c9"/>
    <ds:schemaRef ds:uri="e08fa773-5d6d-4244-aabf-7f96723cba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8708CD0-F901-4EEE-8582-B21342D4CFDE}">
  <ds:schemaRefs>
    <ds:schemaRef ds:uri="http://purl.org/dc/elements/1.1/"/>
    <ds:schemaRef ds:uri="http://schemas.microsoft.com/office/2006/metadata/properties"/>
    <ds:schemaRef ds:uri="http://www.w3.org/XML/1998/namespace"/>
    <ds:schemaRef ds:uri="f8eea61b-0d45-4c25-8488-2b3e0f09d2c9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e08fa773-5d6d-4244-aabf-7f96723cba25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Cover</vt:lpstr>
      <vt:lpstr>Historical trend ass. Est_visua</vt:lpstr>
      <vt:lpstr>Historical trend ass. Lat_visu</vt:lpstr>
      <vt:lpstr>Historical trend ass. Lit_visua</vt:lpstr>
      <vt:lpstr>Efficiency Assumptions</vt:lpstr>
      <vt:lpstr>Pop Projection</vt:lpstr>
      <vt:lpstr>EST_FEC</vt:lpstr>
      <vt:lpstr>LAT_FEC</vt:lpstr>
      <vt:lpstr>LIT_FEC</vt:lpstr>
      <vt:lpstr>Sub sectoral data</vt:lpstr>
      <vt:lpstr>EST Scenario projections</vt:lpstr>
      <vt:lpstr>LAT Scenario projections </vt:lpstr>
      <vt:lpstr>LIT Scenario projections </vt:lpstr>
      <vt:lpstr>SEI Scenario EST</vt:lpstr>
      <vt:lpstr>SEI Scenario LAT</vt:lpstr>
      <vt:lpstr>SEI Scenario LIT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Gowtham Muthukumaran</cp:lastModifiedBy>
  <cp:revision>2</cp:revision>
  <cp:lastPrinted>2026-03-10T08:23:36Z</cp:lastPrinted>
  <dcterms:created xsi:type="dcterms:W3CDTF">2026-01-30T08:21:55Z</dcterms:created>
  <dcterms:modified xsi:type="dcterms:W3CDTF">2026-09-25T09:09:15Z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0x010100D48C5E40C27BB94B80DE82724D7D6F66</vt:lpwstr>
  </property>
  <property fmtid="{D5CDD505-2E9C-101B-9397-08002B2CF9AE}" pid="3" name="MediaServiceImageTags">
    <vt:lpwstr/>
  </property>
</Properties>
</file>